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E:\FORMULA RATES SPP\Annual Update AEP West Trans\True Ups\2025 Rate Year\Transcos\As Filed\"/>
    </mc:Choice>
  </mc:AlternateContent>
  <xr:revisionPtr revIDLastSave="0" documentId="13_ncr:1_{33BB5772-121E-4EF7-9672-8F9E4A17E203}" xr6:coauthVersionLast="47" xr6:coauthVersionMax="47" xr10:uidLastSave="{00000000-0000-0000-0000-000000000000}"/>
  <bookViews>
    <workbookView xWindow="-28920" yWindow="-105" windowWidth="29040" windowHeight="15720" tabRatio="830" xr2:uid="{00000000-000D-0000-FFFF-FFFF00000000}"/>
  </bookViews>
  <sheets>
    <sheet name="OKT.Sch.11.Rates" sheetId="17" r:id="rId1"/>
    <sheet name="OKT.WS.F.BPU.ATRR.Projected" sheetId="1" r:id="rId2"/>
    <sheet name="OKT.WS.G.BPU.ATRR.True-up" sheetId="2" r:id="rId3"/>
    <sheet name="OKT.001" sheetId="3" r:id="rId4"/>
    <sheet name="OKT.002" sheetId="4" r:id="rId5"/>
    <sheet name="OKT.003" sheetId="18" r:id="rId6"/>
    <sheet name="OKT.004" sheetId="19" r:id="rId7"/>
    <sheet name="OKT.005" sheetId="20" r:id="rId8"/>
    <sheet name="OKT.006" sheetId="21" r:id="rId9"/>
    <sheet name="OKT.007" sheetId="22" r:id="rId10"/>
    <sheet name="OKT.008" sheetId="23" r:id="rId11"/>
    <sheet name="OKT.009" sheetId="25" r:id="rId12"/>
    <sheet name="OKT.010" sheetId="24" r:id="rId13"/>
    <sheet name="OKT.011" sheetId="26" r:id="rId14"/>
    <sheet name="OKT.012" sheetId="27" r:id="rId15"/>
    <sheet name="OKT.013" sheetId="28" r:id="rId16"/>
    <sheet name="OKT.014" sheetId="29" r:id="rId17"/>
    <sheet name="OKT.015" sheetId="31" r:id="rId18"/>
    <sheet name="OKT.016" sheetId="34" r:id="rId19"/>
    <sheet name="OKT.017" sheetId="35" r:id="rId20"/>
    <sheet name="OKT.018" sheetId="37" r:id="rId21"/>
    <sheet name="OKT.019" sheetId="38" r:id="rId22"/>
    <sheet name="OKT.020" sheetId="39" r:id="rId23"/>
    <sheet name="OKT.021" sheetId="40" r:id="rId24"/>
    <sheet name="OKT.022" sheetId="41" r:id="rId25"/>
    <sheet name="OKT.023" sheetId="42" r:id="rId26"/>
    <sheet name="OKT.024" sheetId="43" r:id="rId27"/>
    <sheet name="OKT.025" sheetId="44" r:id="rId28"/>
    <sheet name="OKT.026" sheetId="45" r:id="rId29"/>
    <sheet name="OKT.xyz - blank" sheetId="13" r:id="rId30"/>
  </sheets>
  <definedNames>
    <definedName name="_NPh1">#REF!</definedName>
    <definedName name="ActExcessAmt">#REF!</definedName>
    <definedName name="ActGrTaxAmt">#REF!</definedName>
    <definedName name="ActKWHExcess">#REF!</definedName>
    <definedName name="ActKWHNotUsed">#REF!</definedName>
    <definedName name="ActKWHRes">#REF!</definedName>
    <definedName name="ActKWHSubTot">#REF!</definedName>
    <definedName name="ActKWHTot">#REF!</definedName>
    <definedName name="ActNotUsedAmt">#REF!</definedName>
    <definedName name="ActResAmt">#REF!</definedName>
    <definedName name="ActSubTotAmt">#REF!</definedName>
    <definedName name="ActTotAmt">#REF!</definedName>
    <definedName name="AdminChg">#REF!</definedName>
    <definedName name="AEP">#REF!</definedName>
    <definedName name="allocator">#REF!</definedName>
    <definedName name="allocators">#REF!</definedName>
    <definedName name="allocatorsSWP">#REF!</definedName>
    <definedName name="allocatorSWP1">#REF!</definedName>
    <definedName name="APCO">#REF!</definedName>
    <definedName name="AVRGPWRFCTR">#REF!</definedName>
    <definedName name="B1HRSCRMO">#REF!</definedName>
    <definedName name="B2HRSCRMO">#REF!</definedName>
    <definedName name="BASERATECHG">#REF!</definedName>
    <definedName name="BILLKWH">#REF!</definedName>
    <definedName name="BIRPCCHG">#REF!</definedName>
    <definedName name="BIRPDCHG1">#REF!</definedName>
    <definedName name="BIRPDCHG2">#REF!</definedName>
    <definedName name="BIRPECHG1">#REF!</definedName>
    <definedName name="BIRPECHGB1">#REF!</definedName>
    <definedName name="BIRPECHGB2">#REF!</definedName>
    <definedName name="BIRPECHGB3">#REF!</definedName>
    <definedName name="BIRPECHGW">#REF!</definedName>
    <definedName name="BIRPKWH1">#REF!</definedName>
    <definedName name="BIRPKWHB1">#REF!</definedName>
    <definedName name="BIRPKWHB2">#REF!</definedName>
    <definedName name="BIRPKWHB3">#REF!</definedName>
    <definedName name="BIRPKWHWH">#REF!</definedName>
    <definedName name="BIRPMECHG1">#REF!</definedName>
    <definedName name="BIRPOFKWH">#REF!</definedName>
    <definedName name="BIRPOPKWH">#REF!</definedName>
    <definedName name="BIRPP1EC">#REF!</definedName>
    <definedName name="BIRPP2EC">#REF!</definedName>
    <definedName name="BIRPP3EC">#REF!</definedName>
    <definedName name="BIRPP4EC">#REF!</definedName>
    <definedName name="BIRPP5EC">#REF!</definedName>
    <definedName name="BIRPPDMDCHG">#REF!</definedName>
    <definedName name="BIRPRCHG">#REF!</definedName>
    <definedName name="BIRPXKVA">#REF!</definedName>
    <definedName name="BIRPXKVAPCT">#REF!</definedName>
    <definedName name="BIRPXOFKW">#REF!</definedName>
    <definedName name="BKUPKWH">#REF!</definedName>
    <definedName name="BLDAMNT">#REF!</definedName>
    <definedName name="BLDDMND">#REF!</definedName>
    <definedName name="BLDKWH">#REF!</definedName>
    <definedName name="BLDOPDMND">#REF!</definedName>
    <definedName name="BLNGKWB4EDR">#REF!</definedName>
    <definedName name="BLNGKWH">#REF!</definedName>
    <definedName name="BLNGKWHTTL">#REF!</definedName>
    <definedName name="BndBlkKwh1">#REF!</definedName>
    <definedName name="BndBlkKwh2">#REF!</definedName>
    <definedName name="BndBlkKwh3">#REF!</definedName>
    <definedName name="BndBlkKwhChg1">#REF!</definedName>
    <definedName name="BndBlkKwhChg2">#REF!</definedName>
    <definedName name="BndBlkKwhChg3">#REF!</definedName>
    <definedName name="BndBlkKwhChgT">#REF!</definedName>
    <definedName name="BndBlkKwhChgW">#REF!</definedName>
    <definedName name="BndBlkKwhT">#REF!</definedName>
    <definedName name="BndBlkKwhW">#REF!</definedName>
    <definedName name="BndCustChg">#REF!</definedName>
    <definedName name="BndDmdChg1">#REF!</definedName>
    <definedName name="BndDmdChg2">#REF!</definedName>
    <definedName name="BndExcsKvaPct">#REF!</definedName>
    <definedName name="BndMEChg">#REF!</definedName>
    <definedName name="BndOffPkKwh">#REF!</definedName>
    <definedName name="BndOnPkKwh">#REF!</definedName>
    <definedName name="BndPL1Chg">#REF!</definedName>
    <definedName name="BndPL2Chg">#REF!</definedName>
    <definedName name="BndPL3Chg">#REF!</definedName>
    <definedName name="BndPL4Chg">#REF!</definedName>
    <definedName name="BndPL5Chg">#REF!</definedName>
    <definedName name="BndReactiveChg">#REF!</definedName>
    <definedName name="BndXOfpKvaChg">#REF!</definedName>
    <definedName name="BndXOfpKwChg">#REF!</definedName>
    <definedName name="BTTrueUp">#REF!</definedName>
    <definedName name="BUNCCHG">#REF!</definedName>
    <definedName name="BUNDCHG1">#REF!</definedName>
    <definedName name="BUNDCHG2">#REF!</definedName>
    <definedName name="BUNECHG1">#REF!</definedName>
    <definedName name="BUNECHGB1">#REF!</definedName>
    <definedName name="BUNECHGB2">#REF!</definedName>
    <definedName name="BUNECHGB3">#REF!</definedName>
    <definedName name="BUNECHGW">#REF!</definedName>
    <definedName name="BUNKWH1">#REF!</definedName>
    <definedName name="BUNKWHB1">#REF!</definedName>
    <definedName name="BUNKWHB2">#REF!</definedName>
    <definedName name="BUNKWHB3">#REF!</definedName>
    <definedName name="BUNKWHWH">#REF!</definedName>
    <definedName name="BUNMECHG1">#REF!</definedName>
    <definedName name="BUNOFKWH">#REF!</definedName>
    <definedName name="BUNOPKWH">#REF!</definedName>
    <definedName name="BUNP1EC">#REF!</definedName>
    <definedName name="BUNP2EC">#REF!</definedName>
    <definedName name="BUNP3EC">#REF!</definedName>
    <definedName name="BUNP4EC">#REF!</definedName>
    <definedName name="BUNP5EC">#REF!</definedName>
    <definedName name="BUNPDMDCHG">#REF!</definedName>
    <definedName name="BUNRCHG">#REF!</definedName>
    <definedName name="BUNXKVA">#REF!</definedName>
    <definedName name="BUNXKVAPCT">#REF!</definedName>
    <definedName name="BUNXOFKW">#REF!</definedName>
    <definedName name="CALCPFCC">#REF!</definedName>
    <definedName name="CAPDEFA">#REF!</definedName>
    <definedName name="CBLKWH">#REF!</definedName>
    <definedName name="City">#REF!</definedName>
    <definedName name="CNTRCTDMND">#REF!</definedName>
    <definedName name="CoPhoneLine">#REF!</definedName>
    <definedName name="CRMOINTRPTHRS">#REF!</definedName>
    <definedName name="CRNTMOBTKWH">#REF!</definedName>
    <definedName name="CRNTMOFPKHRS">#REF!</definedName>
    <definedName name="CRNTMONPKHRS">#REF!</definedName>
    <definedName name="CRTLBLONPKHRS">#REF!</definedName>
    <definedName name="CRTLBLONPKKWH">#REF!</definedName>
    <definedName name="CSTMRCHG">#REF!</definedName>
    <definedName name="CurMoAddr1">#REF!</definedName>
    <definedName name="CurMoAddr2">#REF!</definedName>
    <definedName name="CurMoBTDetail">#REF!</definedName>
    <definedName name="CurMoBuyThrgh_Sheet">#REF!</definedName>
    <definedName name="CurMoCityStZip">#REF!</definedName>
    <definedName name="CurMoCustName">#REF!</definedName>
    <definedName name="CurMoExcessAmt">#REF!</definedName>
    <definedName name="CurMoGrTaxAmt">#REF!</definedName>
    <definedName name="CurMoKWHExcess">#REF!</definedName>
    <definedName name="CurMoKWHNotUsed">#REF!</definedName>
    <definedName name="CurMoKWHRes">#REF!</definedName>
    <definedName name="CurMoKWHSubTot">#REF!</definedName>
    <definedName name="CurMoKWHTot">#REF!</definedName>
    <definedName name="CurMoMtrMult">#REF!</definedName>
    <definedName name="CurMoNotUsedAmt">#REF!</definedName>
    <definedName name="CurMoResAmt">#REF!</definedName>
    <definedName name="CurMoSubTotAmt">#REF!</definedName>
    <definedName name="CurMoTotAmt">#REF!</definedName>
    <definedName name="CurrYear">#REF!</definedName>
    <definedName name="CustAddr1">#REF!</definedName>
    <definedName name="CustAddr2">#REF!</definedName>
    <definedName name="CustCityStZip">#REF!</definedName>
    <definedName name="CustName2">#REF!</definedName>
    <definedName name="CustTable">#REF!</definedName>
    <definedName name="DetailTotCbl">#REF!</definedName>
    <definedName name="DetailTotChg">#REF!</definedName>
    <definedName name="DetailTotKw">#REF!</definedName>
    <definedName name="DetailTotMargin">#REF!</definedName>
    <definedName name="DIRPCCHG">#REF!</definedName>
    <definedName name="DIRPDCHG1">#REF!</definedName>
    <definedName name="DIRPDCHG2">#REF!</definedName>
    <definedName name="DIRPECHG1">#REF!</definedName>
    <definedName name="DIRPECHGB1">#REF!</definedName>
    <definedName name="DIRPECHGB2">#REF!</definedName>
    <definedName name="DIRPECHGB3">#REF!</definedName>
    <definedName name="DIRPMECHG1">#REF!</definedName>
    <definedName name="DIRPMINDC">#REF!</definedName>
    <definedName name="DIRPMINEC">#REF!</definedName>
    <definedName name="DIRPOFKVA">#REF!</definedName>
    <definedName name="DIRPOFKW">#REF!</definedName>
    <definedName name="DIRPOFKWH">#REF!</definedName>
    <definedName name="DIRPOPKWH">#REF!</definedName>
    <definedName name="DIRPP1EC">#REF!</definedName>
    <definedName name="DIRPP2EC">#REF!</definedName>
    <definedName name="DIRPP3EC">#REF!</definedName>
    <definedName name="DIRPP4EC">#REF!</definedName>
    <definedName name="DIRPP5EC">#REF!</definedName>
    <definedName name="DIRPRCHG">#REF!</definedName>
    <definedName name="DisBlkKwhChg1">#REF!</definedName>
    <definedName name="DisBlkKwhChg2">#REF!</definedName>
    <definedName name="DisBlkKwhChg3">#REF!</definedName>
    <definedName name="DisBlkKwhChgT">#REF!</definedName>
    <definedName name="DisCustChg">#REF!</definedName>
    <definedName name="DisDmdChg1">#REF!</definedName>
    <definedName name="DisDmdChg2">#REF!</definedName>
    <definedName name="DisMEChg">#REF!</definedName>
    <definedName name="DisMinDChg">#REF!</definedName>
    <definedName name="DisMinEChg">#REF!</definedName>
    <definedName name="DisOffPkKwh">#REF!</definedName>
    <definedName name="DisOnPkKwh">#REF!</definedName>
    <definedName name="DisPL1Chg">#REF!</definedName>
    <definedName name="DisPL2Chg">#REF!</definedName>
    <definedName name="DisPL3Chg">#REF!</definedName>
    <definedName name="DisPL4Chg">#REF!</definedName>
    <definedName name="DisPL5Chg">#REF!</definedName>
    <definedName name="DisReactiveChg">#REF!</definedName>
    <definedName name="DisXOfpKvaChg">#REF!</definedName>
    <definedName name="DisXOfpKwChg">#REF!</definedName>
    <definedName name="DSTCCHG">#REF!</definedName>
    <definedName name="DSTDCHG1">#REF!</definedName>
    <definedName name="DSTDCHG2">#REF!</definedName>
    <definedName name="DSTECHG1">#REF!</definedName>
    <definedName name="DSTECHGB1">#REF!</definedName>
    <definedName name="DSTECHGB2">#REF!</definedName>
    <definedName name="DSTECHGB3">#REF!</definedName>
    <definedName name="DSTMECHG1">#REF!</definedName>
    <definedName name="DSTMINDC">#REF!</definedName>
    <definedName name="DSTMINEC">#REF!</definedName>
    <definedName name="DSTOFKWH">#REF!</definedName>
    <definedName name="DSTOPKWH">#REF!</definedName>
    <definedName name="DSTP1EC">#REF!</definedName>
    <definedName name="DSTP2EC">#REF!</definedName>
    <definedName name="DSTP3EC">#REF!</definedName>
    <definedName name="DSTP4EC">#REF!</definedName>
    <definedName name="DSTP5EC">#REF!</definedName>
    <definedName name="DSTRCHG">#REF!</definedName>
    <definedName name="DSTXOFKVA">#REF!</definedName>
    <definedName name="DSTXOFKW">#REF!</definedName>
    <definedName name="EDRBASE">#REF!</definedName>
    <definedName name="EDRDATE">#REF!</definedName>
    <definedName name="EDRDSCNT">#REF!</definedName>
    <definedName name="EDRLVLPCT">#REF!</definedName>
    <definedName name="EDRTYPE">#REF!</definedName>
    <definedName name="EffDate">#REF!</definedName>
    <definedName name="ELKMCGN1">#REF!</definedName>
    <definedName name="ELKMCGN2">#REF!</definedName>
    <definedName name="ENDDTM">#REF!</definedName>
    <definedName name="ENDTIME">#REF!</definedName>
    <definedName name="EstExcessAmt">#REF!</definedName>
    <definedName name="EstGrTaxAmt">#REF!</definedName>
    <definedName name="EstKWHExcess">#REF!</definedName>
    <definedName name="EstKWHNotUsed">#REF!</definedName>
    <definedName name="EstKWHRes">#REF!</definedName>
    <definedName name="EstKWHSubTot">#REF!</definedName>
    <definedName name="EstKWHTot">#REF!</definedName>
    <definedName name="EstNotUsedAmt">#REF!</definedName>
    <definedName name="EstResAmt">#REF!</definedName>
    <definedName name="EstSubTotAmt">#REF!</definedName>
    <definedName name="EstTotAmt">#REF!</definedName>
    <definedName name="EXCSKVACHG">#REF!</definedName>
    <definedName name="EXCSKVADMND">#REF!</definedName>
    <definedName name="EXCSKVAR">#REF!</definedName>
    <definedName name="FIRMKWH">#REF!</definedName>
    <definedName name="FIRSTDAY">#REF!</definedName>
    <definedName name="FRMCPCT">#REF!</definedName>
    <definedName name="FUELCHG">#REF!</definedName>
    <definedName name="FUELRATE">#REF!</definedName>
    <definedName name="GenBlkKwhChg1">#REF!</definedName>
    <definedName name="GenBlkKwhChg2">#REF!</definedName>
    <definedName name="GenBlkKwhChg3">#REF!</definedName>
    <definedName name="GenBlkKwhChgT">#REF!</definedName>
    <definedName name="GENCCHG">#REF!</definedName>
    <definedName name="GenCustChg">#REF!</definedName>
    <definedName name="GENDCHG1">#REF!</definedName>
    <definedName name="GENDCHG2">#REF!</definedName>
    <definedName name="GenDmdChg1">#REF!</definedName>
    <definedName name="GenDmdChg2">#REF!</definedName>
    <definedName name="GENECHG1">#REF!</definedName>
    <definedName name="GENECHGB1">#REF!</definedName>
    <definedName name="GENECHGB2">#REF!</definedName>
    <definedName name="GENECHGB3">#REF!</definedName>
    <definedName name="GenMEChg">#REF!</definedName>
    <definedName name="GENMECHG1">#REF!</definedName>
    <definedName name="GENMINDC">#REF!</definedName>
    <definedName name="GenMinDChg">#REF!</definedName>
    <definedName name="GENMINEC">#REF!</definedName>
    <definedName name="GenMinEChg">#REF!</definedName>
    <definedName name="GenOffPkKwh">#REF!</definedName>
    <definedName name="GENOFKWH">#REF!</definedName>
    <definedName name="GenOnPkKwh">#REF!</definedName>
    <definedName name="GENOPKWH">#REF!</definedName>
    <definedName name="GENP1EC">#REF!</definedName>
    <definedName name="GENP2EC">#REF!</definedName>
    <definedName name="GENP3EC">#REF!</definedName>
    <definedName name="GENP4EC">#REF!</definedName>
    <definedName name="GENP5EC">#REF!</definedName>
    <definedName name="GenPL1Chg">#REF!</definedName>
    <definedName name="GenPL2Chg">#REF!</definedName>
    <definedName name="GenPL3Chg">#REF!</definedName>
    <definedName name="GenPL4Chg">#REF!</definedName>
    <definedName name="GenPL5Chg">#REF!</definedName>
    <definedName name="GENRCHG">#REF!</definedName>
    <definedName name="GenReactiveChg">#REF!</definedName>
    <definedName name="GENXOFKVA">#REF!</definedName>
    <definedName name="GENXOFKW">#REF!</definedName>
    <definedName name="GenXOfpKvaChg">#REF!</definedName>
    <definedName name="GenXOfpKwChg">#REF!</definedName>
    <definedName name="GIRPCCHG">#REF!</definedName>
    <definedName name="GIRPDCHG1">#REF!</definedName>
    <definedName name="GIRPDCHG2">#REF!</definedName>
    <definedName name="GIRPECHG1">#REF!</definedName>
    <definedName name="GIRPECHGB1">#REF!</definedName>
    <definedName name="GIRPECHGB2">#REF!</definedName>
    <definedName name="GIRPECHGB3">#REF!</definedName>
    <definedName name="GIRPMECHG1">#REF!</definedName>
    <definedName name="GIRPMINDC">#REF!</definedName>
    <definedName name="GIRPMINEC">#REF!</definedName>
    <definedName name="GIRPOFKVA">#REF!</definedName>
    <definedName name="GIRPOFKW">#REF!</definedName>
    <definedName name="GIRPOFKWH">#REF!</definedName>
    <definedName name="GIRPOPKWH">#REF!</definedName>
    <definedName name="GIRPP1EC">#REF!</definedName>
    <definedName name="GIRPP2EC">#REF!</definedName>
    <definedName name="GIRPP3EC">#REF!</definedName>
    <definedName name="GIRPP4EC">#REF!</definedName>
    <definedName name="GIRPP5EC">#REF!</definedName>
    <definedName name="GIRPRCHG">#REF!</definedName>
    <definedName name="HIPREKW">#REF!</definedName>
    <definedName name="HRCRDKW">#REF!</definedName>
    <definedName name="HRCRDKWDT">#REF!</definedName>
    <definedName name="HRCRDKWTM">#REF!</definedName>
    <definedName name="HROFPKDT">#REF!</definedName>
    <definedName name="HROFPKKW">#REF!</definedName>
    <definedName name="HROFPKTM">#REF!</definedName>
    <definedName name="HRONPKDT">#REF!</definedName>
    <definedName name="HRONPKKW">#REF!</definedName>
    <definedName name="HRONPKTM">#REF!</definedName>
    <definedName name="IMCO">#REF!</definedName>
    <definedName name="InterruptCapacity">#REF!</definedName>
    <definedName name="InterruptOfpCapacity">#REF!</definedName>
    <definedName name="InterruptType">#REF!</definedName>
    <definedName name="INTRPBLCAP">#REF!</definedName>
    <definedName name="Invdetails">#REF!</definedName>
    <definedName name="KWCHG">#REF!</definedName>
    <definedName name="KWH1NOCMM">#REF!</definedName>
    <definedName name="KWH3NOCMM">#REF!</definedName>
    <definedName name="KWHCHG">#REF!</definedName>
    <definedName name="LASTDAY">#REF!</definedName>
    <definedName name="LASTFUEL">#REF!</definedName>
    <definedName name="LASTMSRR">#REF!</definedName>
    <definedName name="LASTPFCC">#REF!</definedName>
    <definedName name="LDFCTR">#REF!</definedName>
    <definedName name="LRCREDIT">#REF!</definedName>
    <definedName name="MACC1">#REF!</definedName>
    <definedName name="MACC2">#REF!</definedName>
    <definedName name="MAINTHRSCRMO">#REF!</definedName>
    <definedName name="MAINTKWH">#REF!</definedName>
    <definedName name="MinBillDem">#REF!</definedName>
    <definedName name="MinBillDem2">#REF!</definedName>
    <definedName name="MinBillDmd">#REF!</definedName>
    <definedName name="MSRRBLD">#REF!</definedName>
    <definedName name="MSRRCHG">#REF!</definedName>
    <definedName name="MTRMLTPLR1">#REF!</definedName>
    <definedName name="MTRMLTPLR2">#REF!</definedName>
    <definedName name="NETMRGCHG">#REF!</definedName>
    <definedName name="NODAYSINPRD">#REF!</definedName>
    <definedName name="NODELPOINTS">#REF!</definedName>
    <definedName name="NP_h1">#REF!</definedName>
    <definedName name="NvsASD">"V2006-12-31"</definedName>
    <definedName name="NvsAutoDrillOk">"VN"</definedName>
    <definedName name="NvsElapsedTime">0.000231481484661344</definedName>
    <definedName name="NvsEndTime">39091.5909490741</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"%,X,RZF..,CNF.."</definedName>
    <definedName name="NvsPanelBusUnit">"V100"</definedName>
    <definedName name="NvsPanelEffdt">"V2004-06-30"</definedName>
    <definedName name="NvsPanelSetid">"VAEP"</definedName>
    <definedName name="NvsReqBU">"VX999"</definedName>
    <definedName name="NvsReqBUOnly">"VN"</definedName>
    <definedName name="NvsTransLed">"VN"</definedName>
    <definedName name="NvsTreeASD">"V2099-01-01"</definedName>
    <definedName name="NvsValTbl.ACCOUNT">"GL_ACCOUNT_TBL"</definedName>
    <definedName name="NvsValTbl.AEP_STATE_JURIS">"AEP_ST_JD_TBL"</definedName>
    <definedName name="NvsValTbl.CURRENCY_CD">"CURRENCY_CD_TBL"</definedName>
    <definedName name="OFPCBLKW">#REF!</definedName>
    <definedName name="OFPKBILLKWH">#REF!</definedName>
    <definedName name="OFPKCGNKWH">#REF!</definedName>
    <definedName name="OFPKCNTRCTCPCT">#REF!</definedName>
    <definedName name="OFPKDMPKWH">#REF!</definedName>
    <definedName name="OFPKDSCRKWH">#REF!</definedName>
    <definedName name="OFPKDT">#REF!</definedName>
    <definedName name="OFPKEXCSKW">#REF!</definedName>
    <definedName name="OFPKINCRKWH">#REF!</definedName>
    <definedName name="OFPKKVADT">#REF!</definedName>
    <definedName name="OFPKKVATM">#REF!</definedName>
    <definedName name="OFPKKVW">#REF!</definedName>
    <definedName name="OFPKKW">#REF!</definedName>
    <definedName name="OFPKKWH1NOCMM">#REF!</definedName>
    <definedName name="OFPKKWH3NOCMM">#REF!</definedName>
    <definedName name="OFPKRCRDKWH">#REF!</definedName>
    <definedName name="OFPKTM">#REF!</definedName>
    <definedName name="OFPXCSKW">#REF!</definedName>
    <definedName name="OFPXCSKWDT">#REF!</definedName>
    <definedName name="OFPXCSKWH">#REF!</definedName>
    <definedName name="OFPXCSKWTM">#REF!</definedName>
    <definedName name="ONPKBILLKWH">#REF!</definedName>
    <definedName name="ONPKCAPB">#REF!</definedName>
    <definedName name="ONPKCGNKWH">#REF!</definedName>
    <definedName name="ONPKCNTRCTCPCT">#REF!</definedName>
    <definedName name="ONPKDMPKWH">#REF!</definedName>
    <definedName name="ONPKDSCRKWH">#REF!</definedName>
    <definedName name="ONPKDT">#REF!</definedName>
    <definedName name="ONPKINCRKWH">#REF!</definedName>
    <definedName name="ONPKKVA">#REF!</definedName>
    <definedName name="ONPKKVADT">#REF!</definedName>
    <definedName name="ONPKKVATM">#REF!</definedName>
    <definedName name="ONPKKW">#REF!</definedName>
    <definedName name="ONPKKWH1NOCMM">#REF!</definedName>
    <definedName name="ONPKKWH3NOCMM">#REF!</definedName>
    <definedName name="ONPKRCRDKWH">#REF!</definedName>
    <definedName name="ONPKTM">#REF!</definedName>
    <definedName name="OPCBLKW">#REF!</definedName>
    <definedName name="OPCO">#REF!</definedName>
    <definedName name="OPXCSKW">#REF!</definedName>
    <definedName name="OPXCSKWDT">#REF!</definedName>
    <definedName name="OPXCSKWH">#REF!</definedName>
    <definedName name="OPXCSKWTM">#REF!</definedName>
    <definedName name="OTHRTRNSKWH">#REF!</definedName>
    <definedName name="P1PENPERC">#REF!</definedName>
    <definedName name="P2PENPERC">#REF!</definedName>
    <definedName name="PeakDemandChg">#REF!</definedName>
    <definedName name="PenaltyDays">#REF!</definedName>
    <definedName name="PenaltyPct">#REF!</definedName>
    <definedName name="PENDAYS">#REF!</definedName>
    <definedName name="PENDAYS2">#REF!</definedName>
    <definedName name="PFCC">#REF!</definedName>
    <definedName name="PKKVAR">#REF!</definedName>
    <definedName name="PKKVARDATE">#REF!</definedName>
    <definedName name="PKKVARTIME">#REF!</definedName>
    <definedName name="PLVLKWH1">#REF!</definedName>
    <definedName name="PLVLKWH1A">#REF!</definedName>
    <definedName name="PLVLKWH2">#REF!</definedName>
    <definedName name="PLVLKWH23A">#REF!</definedName>
    <definedName name="PLVLKWH25">#REF!</definedName>
    <definedName name="PLVLKWH2A">#REF!</definedName>
    <definedName name="PLVLKWH3">#REF!</definedName>
    <definedName name="PLVLKWH3A">#REF!</definedName>
    <definedName name="PLVLKWH4">#REF!</definedName>
    <definedName name="PLVLKWH4A">#REF!</definedName>
    <definedName name="PRICEDESIG">#REF!</definedName>
    <definedName name="PriMoAddr1">#REF!</definedName>
    <definedName name="PriMoAddr2">#REF!</definedName>
    <definedName name="PriMoBTDetail">#REF!</definedName>
    <definedName name="PriMoBuyThrgh_Sheet">#REF!</definedName>
    <definedName name="PriMoCityStZip">#REF!</definedName>
    <definedName name="PriMoCustName">#REF!</definedName>
    <definedName name="PriMoMtrMult">#REF!</definedName>
    <definedName name="_xlnm.Print_Area" localSheetId="3">OKT.001!$A$1:$P$166</definedName>
    <definedName name="_xlnm.Print_Area" localSheetId="4">OKT.002!$A$1:$P$166</definedName>
    <definedName name="_xlnm.Print_Area" localSheetId="5">OKT.003!$A$1:$P$166</definedName>
    <definedName name="_xlnm.Print_Area" localSheetId="6">OKT.004!$A$1:$P$166</definedName>
    <definedName name="_xlnm.Print_Area" localSheetId="7">OKT.005!$A$1:$P$166</definedName>
    <definedName name="_xlnm.Print_Area" localSheetId="8">OKT.006!$A$1:$P$166</definedName>
    <definedName name="_xlnm.Print_Area" localSheetId="9">OKT.007!$A$1:$P$166</definedName>
    <definedName name="_xlnm.Print_Area" localSheetId="10">OKT.008!$A$1:$P$166</definedName>
    <definedName name="_xlnm.Print_Area" localSheetId="11">OKT.009!$A$1:$P$166</definedName>
    <definedName name="_xlnm.Print_Area" localSheetId="12">OKT.010!$A$1:$P$166</definedName>
    <definedName name="_xlnm.Print_Area" localSheetId="13">OKT.011!$A$1:$P$166</definedName>
    <definedName name="_xlnm.Print_Area" localSheetId="14">OKT.012!$A$1:$P$166</definedName>
    <definedName name="_xlnm.Print_Area" localSheetId="15">OKT.013!$A$1:$P$166</definedName>
    <definedName name="_xlnm.Print_Area" localSheetId="16">OKT.014!$A$1:$P$166</definedName>
    <definedName name="_xlnm.Print_Area" localSheetId="17">OKT.015!$A$1:$P$166</definedName>
    <definedName name="_xlnm.Print_Area" localSheetId="18">OKT.016!$A$1:$P$166</definedName>
    <definedName name="_xlnm.Print_Area" localSheetId="19">OKT.017!$A$1:$P$166</definedName>
    <definedName name="_xlnm.Print_Area" localSheetId="0">'OKT.Sch.11.Rates'!$A$1:$T$48</definedName>
    <definedName name="_xlnm.Print_Area" localSheetId="1">'OKT.WS.F.BPU.ATRR.Projected'!$A$1:$O$89</definedName>
    <definedName name="_xlnm.Print_Area" localSheetId="2">'OKT.WS.G.BPU.ATRR.True-up'!$A$1:$P$96</definedName>
    <definedName name="_xlnm.Print_Area" localSheetId="29">'OKT.xyz - blank'!$A$1:$P$166</definedName>
    <definedName name="_xlnm.Print_Titles" localSheetId="9">OKT.007!#REF!</definedName>
    <definedName name="_xlnm.Print_Titles" localSheetId="10">OKT.008!#REF!</definedName>
    <definedName name="_xlnm.Print_Titles" localSheetId="11">OKT.009!#REF!</definedName>
    <definedName name="_xlnm.Print_Titles" localSheetId="12">OKT.010!#REF!</definedName>
    <definedName name="_xlnm.Print_Titles" localSheetId="13">OKT.011!#REF!</definedName>
    <definedName name="_xlnm.Print_Titles" localSheetId="14">OKT.012!#REF!</definedName>
    <definedName name="_xlnm.Print_Titles" localSheetId="15">OKT.013!#REF!</definedName>
    <definedName name="_xlnm.Print_Titles" localSheetId="16">OKT.014!#REF!</definedName>
    <definedName name="_xlnm.Print_Titles" localSheetId="18">OKT.016!#REF!</definedName>
    <definedName name="_xlnm.Print_Titles" localSheetId="19">OKT.017!#REF!</definedName>
    <definedName name="_xlnm.Print_Titles" localSheetId="1">'OKT.WS.F.BPU.ATRR.Projected'!$1:$5</definedName>
    <definedName name="_xlnm.Print_Titles" localSheetId="2">'OKT.WS.G.BPU.ATRR.True-up'!$1:$5</definedName>
    <definedName name="_xlnm.Print_Titles" localSheetId="29">'OKT.xyz - blank'!#REF!</definedName>
    <definedName name="PRVCNT">#REF!</definedName>
    <definedName name="PRVDATE">#REF!</definedName>
    <definedName name="PRVFUEL">#REF!</definedName>
    <definedName name="PRVKW">#REF!</definedName>
    <definedName name="PRVKWH">#REF!</definedName>
    <definedName name="PRVMSRR">#REF!</definedName>
    <definedName name="PRVPFCC">#REF!</definedName>
    <definedName name="PSOallocatorsP">#REF!</definedName>
    <definedName name="PVHIOFPCBL">#REF!</definedName>
    <definedName name="PVHIOPCBL">#REF!</definedName>
    <definedName name="RatchetFactor">#REF!</definedName>
    <definedName name="RCRDRID">#REF!</definedName>
    <definedName name="RCTVHRS">#REF!</definedName>
    <definedName name="RDRBLK1C">#REF!</definedName>
    <definedName name="RDRBLK1Q">#REF!</definedName>
    <definedName name="RDRBLK2C">#REF!</definedName>
    <definedName name="RDRBLK2Q">#REF!</definedName>
    <definedName name="RDRBLK3C">#REF!</definedName>
    <definedName name="RDRBLK3Q">#REF!</definedName>
    <definedName name="RDRBLKTC">#REF!</definedName>
    <definedName name="RDRBLKTC1">#REF!</definedName>
    <definedName name="RDRBLKTC10">#REF!</definedName>
    <definedName name="RDRBLKTC11">#REF!</definedName>
    <definedName name="RDRBLKTC12">#REF!</definedName>
    <definedName name="RDRBLKTC13">#REF!</definedName>
    <definedName name="RDRBLKTC14">#REF!</definedName>
    <definedName name="RDRBLKTC15">#REF!</definedName>
    <definedName name="RDRBLKTC16">#REF!</definedName>
    <definedName name="RDRBLKTC17">#REF!</definedName>
    <definedName name="RDRBLKTC18">#REF!</definedName>
    <definedName name="RDRBLKTC19">#REF!</definedName>
    <definedName name="RDRBLKTC2">#REF!</definedName>
    <definedName name="RDRBLKTC20">#REF!</definedName>
    <definedName name="RDRBLKTC3">#REF!</definedName>
    <definedName name="RDRBLKTC4">#REF!</definedName>
    <definedName name="RDRBLKTC5">#REF!</definedName>
    <definedName name="RDRBLKTC6">#REF!</definedName>
    <definedName name="RDRBLKTC7">#REF!</definedName>
    <definedName name="RDRBLKTC8">#REF!</definedName>
    <definedName name="RDRBLKTC9">#REF!</definedName>
    <definedName name="RDRBLKTQ">#REF!</definedName>
    <definedName name="RDRCODE">#REF!</definedName>
    <definedName name="RDRCYCLE">#REF!</definedName>
    <definedName name="RDRDATE">#REF!</definedName>
    <definedName name="RDRNAME">#REF!</definedName>
    <definedName name="RDRRATEB">#REF!</definedName>
    <definedName name="RDRRATEB1">#REF!</definedName>
    <definedName name="RDRRATEB10">#REF!</definedName>
    <definedName name="RDRRATEB11">#REF!</definedName>
    <definedName name="RDRRATEB12">#REF!</definedName>
    <definedName name="RDRRATEB13">#REF!</definedName>
    <definedName name="RDRRATEB14">#REF!</definedName>
    <definedName name="RDRRATEB15">#REF!</definedName>
    <definedName name="RDRRATEB16">#REF!</definedName>
    <definedName name="RDRRATEB17">#REF!</definedName>
    <definedName name="RDRRATEB18">#REF!</definedName>
    <definedName name="RDRRATEB19">#REF!</definedName>
    <definedName name="RDRRATEB2">#REF!</definedName>
    <definedName name="RDRRATEB20">#REF!</definedName>
    <definedName name="RDRRATEB3">#REF!</definedName>
    <definedName name="RDRRATEB4">#REF!</definedName>
    <definedName name="RDRRATEB5">#REF!</definedName>
    <definedName name="RDRRATEB6">#REF!</definedName>
    <definedName name="RDRRATEB7">#REF!</definedName>
    <definedName name="RDRRATEB8">#REF!</definedName>
    <definedName name="RDRRATEB9">#REF!</definedName>
    <definedName name="RDRRATED">#REF!</definedName>
    <definedName name="RDRRATED1">#REF!</definedName>
    <definedName name="RDRRATED10">#REF!</definedName>
    <definedName name="RDRRATED11">#REF!</definedName>
    <definedName name="RDRRATED12">#REF!</definedName>
    <definedName name="RDRRATED13">#REF!</definedName>
    <definedName name="RDRRATED14">#REF!</definedName>
    <definedName name="RDRRATED15">#REF!</definedName>
    <definedName name="RDRRATED16">#REF!</definedName>
    <definedName name="RDRRATED17">#REF!</definedName>
    <definedName name="RDRRATED18">#REF!</definedName>
    <definedName name="RDRRATED19">#REF!</definedName>
    <definedName name="RDRRATED2">#REF!</definedName>
    <definedName name="RDRRATED20">#REF!</definedName>
    <definedName name="RDRRATED3">#REF!</definedName>
    <definedName name="RDRRATED4">#REF!</definedName>
    <definedName name="RDRRATED5">#REF!</definedName>
    <definedName name="RDRRATED6">#REF!</definedName>
    <definedName name="RDRRATED7">#REF!</definedName>
    <definedName name="RDRRATED8">#REF!</definedName>
    <definedName name="RDRRATED9">#REF!</definedName>
    <definedName name="RDRRATEG">#REF!</definedName>
    <definedName name="RDRRATEG1">#REF!</definedName>
    <definedName name="RDRRATEG10">#REF!</definedName>
    <definedName name="RDRRATEG11">#REF!</definedName>
    <definedName name="RDRRATEG12">#REF!</definedName>
    <definedName name="RDRRATEG13">#REF!</definedName>
    <definedName name="RDRRATEG14">#REF!</definedName>
    <definedName name="RDRRATEG15">#REF!</definedName>
    <definedName name="RDRRATEG16">#REF!</definedName>
    <definedName name="RDRRATEG17">#REF!</definedName>
    <definedName name="RDRRATEG18">#REF!</definedName>
    <definedName name="RDRRATEG19">#REF!</definedName>
    <definedName name="RDRRATEG2">#REF!</definedName>
    <definedName name="RDRRATEG20">#REF!</definedName>
    <definedName name="RDRRATEG3">#REF!</definedName>
    <definedName name="RDRRATEG4">#REF!</definedName>
    <definedName name="RDRRATEG5">#REF!</definedName>
    <definedName name="RDRRATEG6">#REF!</definedName>
    <definedName name="RDRRATEG7">#REF!</definedName>
    <definedName name="RDRRATEG8">#REF!</definedName>
    <definedName name="RDRRATEG9">#REF!</definedName>
    <definedName name="RDRRATET">#REF!</definedName>
    <definedName name="RDRRATET1">#REF!</definedName>
    <definedName name="RDRRATET10">#REF!</definedName>
    <definedName name="RDRRATET11">#REF!</definedName>
    <definedName name="RDRRATET12">#REF!</definedName>
    <definedName name="RDRRATET13">#REF!</definedName>
    <definedName name="RDRRATET14">#REF!</definedName>
    <definedName name="RDRRATET15">#REF!</definedName>
    <definedName name="RDRRATET16">#REF!</definedName>
    <definedName name="RDRRATET17">#REF!</definedName>
    <definedName name="RDRRATET18">#REF!</definedName>
    <definedName name="RDRRATET19">#REF!</definedName>
    <definedName name="RDRRATET2">#REF!</definedName>
    <definedName name="RDRRATET20">#REF!</definedName>
    <definedName name="RDRRATET3">#REF!</definedName>
    <definedName name="RDRRATET4">#REF!</definedName>
    <definedName name="RDRRATET5">#REF!</definedName>
    <definedName name="RDRRATET6">#REF!</definedName>
    <definedName name="RDRRATET7">#REF!</definedName>
    <definedName name="RDRRATET8">#REF!</definedName>
    <definedName name="RDRRATET9">#REF!</definedName>
    <definedName name="RDRTYPE">#REF!</definedName>
    <definedName name="RDRUNITS">#REF!</definedName>
    <definedName name="_xlnm.Recorder">#REF!</definedName>
    <definedName name="Reserved_Section">#REF!</definedName>
    <definedName name="RIDERS">#REF!</definedName>
    <definedName name="RKVAHRDNG">#REF!</definedName>
    <definedName name="RTCHTCNTRCTCPCT">#REF!</definedName>
    <definedName name="RTCHTFCTR">#REF!</definedName>
    <definedName name="RTCHTFCTR2">#REF!</definedName>
    <definedName name="RTCHTHIPREVKW">#REF!</definedName>
    <definedName name="RTP_Detail">#REF!</definedName>
    <definedName name="RTPLRKW">#REF!</definedName>
    <definedName name="SDI">#REF!</definedName>
    <definedName name="SHLDRPKKW">#REF!</definedName>
    <definedName name="SHLDRPKKWDT">#REF!</definedName>
    <definedName name="SHLDRPKKWTM">#REF!</definedName>
    <definedName name="SHRDTRNSKWH">#REF!</definedName>
    <definedName name="SRPLSKWH">#REF!</definedName>
    <definedName name="STARTDTM">#REF!</definedName>
    <definedName name="State">#REF!</definedName>
    <definedName name="STDKW">#REF!</definedName>
    <definedName name="STDKWDT">#REF!</definedName>
    <definedName name="STDKWTM">#REF!</definedName>
    <definedName name="STRTTIME">#REF!</definedName>
    <definedName name="SWPallocatorsH">#REF!</definedName>
    <definedName name="SWPallocatorsP">#REF!</definedName>
    <definedName name="SYSPKKW">#REF!</definedName>
    <definedName name="SYSPKKWDT">#REF!</definedName>
    <definedName name="SYSPKKWTM">#REF!</definedName>
    <definedName name="TARIFF1">#REF!</definedName>
    <definedName name="TARIFF2">#REF!</definedName>
    <definedName name="TariffCode">#REF!</definedName>
    <definedName name="TariffLongName">#REF!</definedName>
    <definedName name="TariffShortName">#REF!</definedName>
    <definedName name="TAXDATE">#REF!</definedName>
    <definedName name="TAXES">#REF!</definedName>
    <definedName name="TAXNAME">#REF!</definedName>
    <definedName name="TAXRATE">#REF!</definedName>
    <definedName name="TAXTYPE">#REF!</definedName>
    <definedName name="TCst">#REF!</definedName>
    <definedName name="TCst1">#REF!</definedName>
    <definedName name="TIRPCCHG">#REF!</definedName>
    <definedName name="TIRPDCHG1">#REF!</definedName>
    <definedName name="TIRPDCHG2">#REF!</definedName>
    <definedName name="TIRPECHG1">#REF!</definedName>
    <definedName name="TIRPECHGB1">#REF!</definedName>
    <definedName name="TIRPECHGB2">#REF!</definedName>
    <definedName name="TIRPECHGB3">#REF!</definedName>
    <definedName name="TIRPMECHG1">#REF!</definedName>
    <definedName name="TIRPMINDC">#REF!</definedName>
    <definedName name="TIRPMINEC">#REF!</definedName>
    <definedName name="TIRPOFKVA">#REF!</definedName>
    <definedName name="TIRPOFKW">#REF!</definedName>
    <definedName name="TIRPOFKWH">#REF!</definedName>
    <definedName name="TIRPOPKWH">#REF!</definedName>
    <definedName name="TIRPP1EC">#REF!</definedName>
    <definedName name="TIRPP2EC">#REF!</definedName>
    <definedName name="TIRPP3EC">#REF!</definedName>
    <definedName name="TIRPP4EC">#REF!</definedName>
    <definedName name="TIRPP5EC">#REF!</definedName>
    <definedName name="TIRPRCHG">#REF!</definedName>
    <definedName name="TLsFctr">#REF!</definedName>
    <definedName name="TRCRDKWH">#REF!</definedName>
    <definedName name="TRCRDKWH2P">#REF!</definedName>
    <definedName name="TRFDATE1">#REF!</definedName>
    <definedName name="TRFDATE2">#REF!</definedName>
    <definedName name="TRFNAME1">#REF!</definedName>
    <definedName name="TRFNAME2">#REF!</definedName>
    <definedName name="TRFSHORTNM1">#REF!</definedName>
    <definedName name="TRFSHORTNM2">#REF!</definedName>
    <definedName name="TrnBlkKwhChg1">#REF!</definedName>
    <definedName name="TrnBlkKwhChg2">#REF!</definedName>
    <definedName name="TrnBlkKwhChg3">#REF!</definedName>
    <definedName name="TrnBlkKwhChgT">#REF!</definedName>
    <definedName name="TRNCCHG">#REF!</definedName>
    <definedName name="TrnCustChg">#REF!</definedName>
    <definedName name="TRNDCHG1">#REF!</definedName>
    <definedName name="TRNDCHG2">#REF!</definedName>
    <definedName name="TrnDmdChg1">#REF!</definedName>
    <definedName name="TrnDmdChg2">#REF!</definedName>
    <definedName name="TRNECHG1">#REF!</definedName>
    <definedName name="TRNECHGB1">#REF!</definedName>
    <definedName name="TRNECHGB2">#REF!</definedName>
    <definedName name="TRNECHGB3">#REF!</definedName>
    <definedName name="TrnMEChg">#REF!</definedName>
    <definedName name="TRNMECHG1">#REF!</definedName>
    <definedName name="TRNMINDC">#REF!</definedName>
    <definedName name="TrnMinDChg">#REF!</definedName>
    <definedName name="TRNMINEC">#REF!</definedName>
    <definedName name="TrnMinEChg">#REF!</definedName>
    <definedName name="TrnOffPkKwh">#REF!</definedName>
    <definedName name="TRNOFKWH">#REF!</definedName>
    <definedName name="TrnOnPkKwh">#REF!</definedName>
    <definedName name="TRNOPKWH">#REF!</definedName>
    <definedName name="TRNP1EC">#REF!</definedName>
    <definedName name="TRNP2EC">#REF!</definedName>
    <definedName name="TRNP3EC">#REF!</definedName>
    <definedName name="TRNP4EC">#REF!</definedName>
    <definedName name="TRNP5EC">#REF!</definedName>
    <definedName name="TrnPL1Chg">#REF!</definedName>
    <definedName name="TrnPL2Chg">#REF!</definedName>
    <definedName name="TrnPL3Chg">#REF!</definedName>
    <definedName name="TrnPL4Chg">#REF!</definedName>
    <definedName name="TrnPL5Chg">#REF!</definedName>
    <definedName name="TRNRCHG">#REF!</definedName>
    <definedName name="TrnReactiveChg">#REF!</definedName>
    <definedName name="TRNSKWTOFPK">#REF!</definedName>
    <definedName name="TRNSKWTONPK">#REF!</definedName>
    <definedName name="TRNXOFKVA">#REF!</definedName>
    <definedName name="TRNXOFKW">#REF!</definedName>
    <definedName name="TrnXOfpKvaChg">#REF!</definedName>
    <definedName name="TrnXOfpKwChg">#REF!</definedName>
    <definedName name="TTLBSRATETTL">#REF!</definedName>
    <definedName name="TTLCOGENKWH">#REF!</definedName>
    <definedName name="UNBUNDIND">#REF!</definedName>
    <definedName name="Zip">#REF!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 i="1" l="1"/>
  <c r="A4" i="1"/>
  <c r="D10" i="19" l="1"/>
  <c r="N102" i="41" l="1"/>
  <c r="O102" i="41" s="1"/>
  <c r="P102" i="41" s="1"/>
  <c r="L102" i="41"/>
  <c r="M102" i="41" s="1"/>
  <c r="N102" i="40"/>
  <c r="O102" i="40" s="1"/>
  <c r="P102" i="40" s="1"/>
  <c r="M102" i="40"/>
  <c r="L102" i="40"/>
  <c r="O104" i="39"/>
  <c r="N104" i="39"/>
  <c r="L104" i="39"/>
  <c r="M104" i="39" s="1"/>
  <c r="O106" i="38"/>
  <c r="N106" i="38"/>
  <c r="L106" i="38"/>
  <c r="M106" i="38" s="1"/>
  <c r="N106" i="37"/>
  <c r="O106" i="37" s="1"/>
  <c r="P106" i="37" s="1"/>
  <c r="M106" i="37"/>
  <c r="L106" i="37"/>
  <c r="N107" i="35"/>
  <c r="O107" i="35" s="1"/>
  <c r="P107" i="35" s="1"/>
  <c r="L107" i="35"/>
  <c r="M107" i="35" s="1"/>
  <c r="N107" i="34"/>
  <c r="O107" i="34" s="1"/>
  <c r="L107" i="34"/>
  <c r="M107" i="34" s="1"/>
  <c r="N107" i="31"/>
  <c r="O107" i="31" s="1"/>
  <c r="P107" i="31" s="1"/>
  <c r="L107" i="31"/>
  <c r="M107" i="31" s="1"/>
  <c r="O108" i="29"/>
  <c r="N108" i="29"/>
  <c r="L108" i="29"/>
  <c r="M108" i="29" s="1"/>
  <c r="O110" i="27"/>
  <c r="N110" i="27"/>
  <c r="L110" i="27"/>
  <c r="M110" i="27" s="1"/>
  <c r="N110" i="26"/>
  <c r="O110" i="26" s="1"/>
  <c r="P110" i="26" s="1"/>
  <c r="M110" i="26"/>
  <c r="L110" i="26"/>
  <c r="O111" i="24"/>
  <c r="P111" i="24" s="1"/>
  <c r="N111" i="24"/>
  <c r="L111" i="24"/>
  <c r="M111" i="24" s="1"/>
  <c r="N109" i="25"/>
  <c r="O109" i="25" s="1"/>
  <c r="L109" i="25"/>
  <c r="M109" i="25" s="1"/>
  <c r="O110" i="22"/>
  <c r="N110" i="22"/>
  <c r="L110" i="22"/>
  <c r="M110" i="22" s="1"/>
  <c r="O111" i="21"/>
  <c r="N111" i="21"/>
  <c r="L111" i="21"/>
  <c r="M111" i="21" s="1"/>
  <c r="N113" i="19"/>
  <c r="O113" i="19" s="1"/>
  <c r="L113" i="19"/>
  <c r="M113" i="19" s="1"/>
  <c r="N113" i="18"/>
  <c r="O113" i="18" s="1"/>
  <c r="P113" i="18" s="1"/>
  <c r="M113" i="18"/>
  <c r="L113" i="18"/>
  <c r="O114" i="4"/>
  <c r="N114" i="4"/>
  <c r="L114" i="4"/>
  <c r="M114" i="4" s="1"/>
  <c r="N114" i="3"/>
  <c r="O114" i="3" s="1"/>
  <c r="P114" i="3" s="1"/>
  <c r="M114" i="3"/>
  <c r="L114" i="3"/>
  <c r="P104" i="39" l="1"/>
  <c r="P106" i="38"/>
  <c r="P107" i="34"/>
  <c r="P108" i="29"/>
  <c r="P110" i="27"/>
  <c r="P109" i="25"/>
  <c r="P110" i="22"/>
  <c r="P111" i="21"/>
  <c r="P113" i="19"/>
  <c r="P114" i="4"/>
  <c r="N18" i="45" l="1"/>
  <c r="O18" i="45" s="1"/>
  <c r="M18" i="45"/>
  <c r="K18" i="45"/>
  <c r="L18" i="45" s="1"/>
  <c r="N6" i="44"/>
  <c r="N5" i="44"/>
  <c r="N17" i="44"/>
  <c r="M17" i="44"/>
  <c r="K17" i="44"/>
  <c r="L17" i="44" s="1"/>
  <c r="D18" i="44"/>
  <c r="M17" i="43"/>
  <c r="N17" i="43" s="1"/>
  <c r="O17" i="43" s="1"/>
  <c r="K17" i="43"/>
  <c r="L17" i="43" s="1"/>
  <c r="N18" i="42"/>
  <c r="O18" i="42" s="1"/>
  <c r="M18" i="42"/>
  <c r="K18" i="42"/>
  <c r="L18" i="42" s="1"/>
  <c r="M20" i="41"/>
  <c r="N20" i="41" s="1"/>
  <c r="O20" i="41" s="1"/>
  <c r="L20" i="41"/>
  <c r="K20" i="41"/>
  <c r="M20" i="40"/>
  <c r="N20" i="40" s="1"/>
  <c r="O20" i="40" s="1"/>
  <c r="K20" i="40"/>
  <c r="L20" i="40" s="1"/>
  <c r="N22" i="39"/>
  <c r="M22" i="39"/>
  <c r="K22" i="39"/>
  <c r="L22" i="39" s="1"/>
  <c r="N24" i="38"/>
  <c r="O24" i="38" s="1"/>
  <c r="M24" i="38"/>
  <c r="L24" i="38"/>
  <c r="K24" i="38"/>
  <c r="M23" i="38"/>
  <c r="N23" i="38" s="1"/>
  <c r="O23" i="38" s="1"/>
  <c r="K23" i="38"/>
  <c r="L23" i="38" s="1"/>
  <c r="M24" i="37"/>
  <c r="N24" i="37" s="1"/>
  <c r="K24" i="37"/>
  <c r="L24" i="37" s="1"/>
  <c r="N25" i="35"/>
  <c r="O25" i="35" s="1"/>
  <c r="M25" i="35"/>
  <c r="L25" i="35"/>
  <c r="K25" i="35"/>
  <c r="M25" i="34"/>
  <c r="N25" i="34" s="1"/>
  <c r="O25" i="34" s="1"/>
  <c r="K25" i="34"/>
  <c r="L25" i="34" s="1"/>
  <c r="N25" i="31"/>
  <c r="M25" i="31"/>
  <c r="K25" i="31"/>
  <c r="L25" i="31" s="1"/>
  <c r="M26" i="29"/>
  <c r="N26" i="29" s="1"/>
  <c r="O26" i="29" s="1"/>
  <c r="K26" i="29"/>
  <c r="L26" i="29" s="1"/>
  <c r="M28" i="27"/>
  <c r="N28" i="27" s="1"/>
  <c r="O28" i="27" s="1"/>
  <c r="K28" i="27"/>
  <c r="L28" i="27" s="1"/>
  <c r="N28" i="26"/>
  <c r="O28" i="26" s="1"/>
  <c r="M28" i="26"/>
  <c r="L28" i="26"/>
  <c r="K28" i="26"/>
  <c r="M29" i="24"/>
  <c r="N29" i="24" s="1"/>
  <c r="O29" i="24" s="1"/>
  <c r="K29" i="24"/>
  <c r="L29" i="24" s="1"/>
  <c r="M27" i="25"/>
  <c r="N27" i="25" s="1"/>
  <c r="K27" i="25"/>
  <c r="L27" i="25" s="1"/>
  <c r="N28" i="23"/>
  <c r="M28" i="23"/>
  <c r="K28" i="23"/>
  <c r="L28" i="23" s="1"/>
  <c r="M28" i="22"/>
  <c r="N28" i="22" s="1"/>
  <c r="O28" i="22" s="1"/>
  <c r="K28" i="22"/>
  <c r="L28" i="22" s="1"/>
  <c r="M29" i="21"/>
  <c r="N29" i="21" s="1"/>
  <c r="O29" i="21" s="1"/>
  <c r="K29" i="21"/>
  <c r="L29" i="21" s="1"/>
  <c r="M31" i="19"/>
  <c r="N31" i="19" s="1"/>
  <c r="O31" i="19" s="1"/>
  <c r="K31" i="19"/>
  <c r="L31" i="19" s="1"/>
  <c r="O17" i="44" l="1"/>
  <c r="O22" i="39"/>
  <c r="O24" i="37"/>
  <c r="O25" i="31"/>
  <c r="O27" i="25"/>
  <c r="O28" i="23"/>
  <c r="M31" i="18"/>
  <c r="N31" i="18" s="1"/>
  <c r="O31" i="18" s="1"/>
  <c r="K31" i="18"/>
  <c r="L31" i="18" s="1"/>
  <c r="M32" i="4" l="1"/>
  <c r="N32" i="4" s="1"/>
  <c r="K32" i="4"/>
  <c r="L32" i="4" s="1"/>
  <c r="M32" i="3"/>
  <c r="K32" i="3"/>
  <c r="L32" i="3" s="1"/>
  <c r="P1" i="45" l="1"/>
  <c r="P1" i="44"/>
  <c r="F92" i="43"/>
  <c r="E92" i="43"/>
  <c r="P1" i="43"/>
  <c r="F92" i="42"/>
  <c r="E92" i="42"/>
  <c r="D92" i="42"/>
  <c r="P1" i="42"/>
  <c r="E92" i="41"/>
  <c r="P1" i="41"/>
  <c r="P1" i="40"/>
  <c r="E92" i="40"/>
  <c r="F92" i="39"/>
  <c r="F92" i="38"/>
  <c r="F92" i="37"/>
  <c r="F92" i="35"/>
  <c r="F92" i="34"/>
  <c r="F92" i="31"/>
  <c r="F92" i="29"/>
  <c r="F92" i="28"/>
  <c r="F92" i="27"/>
  <c r="F92" i="26"/>
  <c r="F92" i="24"/>
  <c r="F92" i="25"/>
  <c r="F92" i="23"/>
  <c r="F92" i="22"/>
  <c r="F92" i="21"/>
  <c r="F92" i="20"/>
  <c r="F92" i="19"/>
  <c r="F92" i="18"/>
  <c r="F92" i="4"/>
  <c r="F92" i="3"/>
  <c r="E92" i="3"/>
  <c r="F92" i="45" l="1"/>
  <c r="E92" i="45"/>
  <c r="M17" i="45"/>
  <c r="N17" i="45" s="1"/>
  <c r="K17" i="45"/>
  <c r="L17" i="45" s="1"/>
  <c r="F92" i="44"/>
  <c r="E92" i="44"/>
  <c r="O17" i="45" l="1"/>
  <c r="M17" i="42" l="1"/>
  <c r="N17" i="42" s="1"/>
  <c r="K17" i="42"/>
  <c r="L17" i="42" s="1"/>
  <c r="P155" i="45"/>
  <c r="O155" i="45"/>
  <c r="M155" i="45"/>
  <c r="J155" i="45"/>
  <c r="P154" i="45"/>
  <c r="O154" i="45"/>
  <c r="M154" i="45"/>
  <c r="J154" i="45"/>
  <c r="P153" i="45"/>
  <c r="O153" i="45"/>
  <c r="M153" i="45"/>
  <c r="J153" i="45"/>
  <c r="P152" i="45"/>
  <c r="O152" i="45"/>
  <c r="M152" i="45"/>
  <c r="J152" i="45"/>
  <c r="P151" i="45"/>
  <c r="O151" i="45"/>
  <c r="M151" i="45"/>
  <c r="J151" i="45"/>
  <c r="P150" i="45"/>
  <c r="O150" i="45"/>
  <c r="M150" i="45"/>
  <c r="J150" i="45"/>
  <c r="P149" i="45"/>
  <c r="O149" i="45"/>
  <c r="M149" i="45"/>
  <c r="J149" i="45"/>
  <c r="P148" i="45"/>
  <c r="O148" i="45"/>
  <c r="M148" i="45"/>
  <c r="J148" i="45"/>
  <c r="P147" i="45"/>
  <c r="O147" i="45"/>
  <c r="M147" i="45"/>
  <c r="J147" i="45"/>
  <c r="P146" i="45"/>
  <c r="O146" i="45"/>
  <c r="M146" i="45"/>
  <c r="J146" i="45"/>
  <c r="P145" i="45"/>
  <c r="O145" i="45"/>
  <c r="M145" i="45"/>
  <c r="J145" i="45"/>
  <c r="P144" i="45"/>
  <c r="O144" i="45"/>
  <c r="M144" i="45"/>
  <c r="J144" i="45"/>
  <c r="P143" i="45"/>
  <c r="O143" i="45"/>
  <c r="M143" i="45"/>
  <c r="J143" i="45"/>
  <c r="P142" i="45"/>
  <c r="O142" i="45"/>
  <c r="M142" i="45"/>
  <c r="J142" i="45"/>
  <c r="P141" i="45"/>
  <c r="O141" i="45"/>
  <c r="M141" i="45"/>
  <c r="J141" i="45"/>
  <c r="P140" i="45"/>
  <c r="O140" i="45"/>
  <c r="M140" i="45"/>
  <c r="J140" i="45"/>
  <c r="P139" i="45"/>
  <c r="O139" i="45"/>
  <c r="M139" i="45"/>
  <c r="J139" i="45"/>
  <c r="P138" i="45"/>
  <c r="O138" i="45"/>
  <c r="M138" i="45"/>
  <c r="J138" i="45"/>
  <c r="P137" i="45"/>
  <c r="O137" i="45"/>
  <c r="M137" i="45"/>
  <c r="J137" i="45"/>
  <c r="P136" i="45"/>
  <c r="O136" i="45"/>
  <c r="M136" i="45"/>
  <c r="J136" i="45"/>
  <c r="P135" i="45"/>
  <c r="O135" i="45"/>
  <c r="M135" i="45"/>
  <c r="J135" i="45"/>
  <c r="P134" i="45"/>
  <c r="O134" i="45"/>
  <c r="M134" i="45"/>
  <c r="J134" i="45"/>
  <c r="P133" i="45"/>
  <c r="O133" i="45"/>
  <c r="M133" i="45"/>
  <c r="J133" i="45"/>
  <c r="P132" i="45"/>
  <c r="O132" i="45"/>
  <c r="M132" i="45"/>
  <c r="J132" i="45"/>
  <c r="O131" i="45"/>
  <c r="M131" i="45"/>
  <c r="O130" i="45"/>
  <c r="M130" i="45"/>
  <c r="O129" i="45"/>
  <c r="M129" i="45"/>
  <c r="O128" i="45"/>
  <c r="M128" i="45"/>
  <c r="O127" i="45"/>
  <c r="M127" i="45"/>
  <c r="O126" i="45"/>
  <c r="M126" i="45"/>
  <c r="O125" i="45"/>
  <c r="M125" i="45"/>
  <c r="O124" i="45"/>
  <c r="M124" i="45"/>
  <c r="O123" i="45"/>
  <c r="M123" i="45"/>
  <c r="O122" i="45"/>
  <c r="M122" i="45"/>
  <c r="O121" i="45"/>
  <c r="M121" i="45"/>
  <c r="O120" i="45"/>
  <c r="M120" i="45"/>
  <c r="O119" i="45"/>
  <c r="M119" i="45"/>
  <c r="O118" i="45"/>
  <c r="M118" i="45"/>
  <c r="O117" i="45"/>
  <c r="M117" i="45"/>
  <c r="O116" i="45"/>
  <c r="M116" i="45"/>
  <c r="O115" i="45"/>
  <c r="M115" i="45"/>
  <c r="O114" i="45"/>
  <c r="M114" i="45"/>
  <c r="O113" i="45"/>
  <c r="M113" i="45"/>
  <c r="O112" i="45"/>
  <c r="M112" i="45"/>
  <c r="O111" i="45"/>
  <c r="M111" i="45"/>
  <c r="O110" i="45"/>
  <c r="M110" i="45"/>
  <c r="O109" i="45"/>
  <c r="M109" i="45"/>
  <c r="O108" i="45"/>
  <c r="M108" i="45"/>
  <c r="O107" i="45"/>
  <c r="M107" i="45"/>
  <c r="O106" i="45"/>
  <c r="M106" i="45"/>
  <c r="O105" i="45"/>
  <c r="M105" i="45"/>
  <c r="O104" i="45"/>
  <c r="M104" i="45"/>
  <c r="O103" i="45"/>
  <c r="M103" i="45"/>
  <c r="O102" i="45"/>
  <c r="M102" i="45"/>
  <c r="J97" i="45"/>
  <c r="L94" i="45"/>
  <c r="D92" i="45"/>
  <c r="D91" i="45"/>
  <c r="D90" i="45"/>
  <c r="N88" i="45"/>
  <c r="N73" i="45"/>
  <c r="L73" i="45"/>
  <c r="N72" i="45"/>
  <c r="L72" i="45"/>
  <c r="N71" i="45"/>
  <c r="L71" i="45"/>
  <c r="N70" i="45"/>
  <c r="L70" i="45"/>
  <c r="N69" i="45"/>
  <c r="L69" i="45"/>
  <c r="N68" i="45"/>
  <c r="L68" i="45"/>
  <c r="N67" i="45"/>
  <c r="L67" i="45"/>
  <c r="N66" i="45"/>
  <c r="L66" i="45"/>
  <c r="N65" i="45"/>
  <c r="L65" i="45"/>
  <c r="N64" i="45"/>
  <c r="L64" i="45"/>
  <c r="N63" i="45"/>
  <c r="L63" i="45"/>
  <c r="N62" i="45"/>
  <c r="L62" i="45"/>
  <c r="N61" i="45"/>
  <c r="L61" i="45"/>
  <c r="N60" i="45"/>
  <c r="L60" i="45"/>
  <c r="N59" i="45"/>
  <c r="L59" i="45"/>
  <c r="N58" i="45"/>
  <c r="L58" i="45"/>
  <c r="N57" i="45"/>
  <c r="L57" i="45"/>
  <c r="N56" i="45"/>
  <c r="L56" i="45"/>
  <c r="N55" i="45"/>
  <c r="L55" i="45"/>
  <c r="N54" i="45"/>
  <c r="L54" i="45"/>
  <c r="N53" i="45"/>
  <c r="L53" i="45"/>
  <c r="N52" i="45"/>
  <c r="L52" i="45"/>
  <c r="N51" i="45"/>
  <c r="L51" i="45"/>
  <c r="N50" i="45"/>
  <c r="L50" i="45"/>
  <c r="N49" i="45"/>
  <c r="L49" i="45"/>
  <c r="N48" i="45"/>
  <c r="L48" i="45"/>
  <c r="N47" i="45"/>
  <c r="L47" i="45"/>
  <c r="N46" i="45"/>
  <c r="L46" i="45"/>
  <c r="N45" i="45"/>
  <c r="L45" i="45"/>
  <c r="N44" i="45"/>
  <c r="L44" i="45"/>
  <c r="N43" i="45"/>
  <c r="L43" i="45"/>
  <c r="N42" i="45"/>
  <c r="L42" i="45"/>
  <c r="N41" i="45"/>
  <c r="L41" i="45"/>
  <c r="N40" i="45"/>
  <c r="L40" i="45"/>
  <c r="N39" i="45"/>
  <c r="L39" i="45"/>
  <c r="N38" i="45"/>
  <c r="L38" i="45"/>
  <c r="N37" i="45"/>
  <c r="L37" i="45"/>
  <c r="N36" i="45"/>
  <c r="L36" i="45"/>
  <c r="N35" i="45"/>
  <c r="L35" i="45"/>
  <c r="N34" i="45"/>
  <c r="L34" i="45"/>
  <c r="N33" i="45"/>
  <c r="L33" i="45"/>
  <c r="N32" i="45"/>
  <c r="L32" i="45"/>
  <c r="N31" i="45"/>
  <c r="L31" i="45"/>
  <c r="N30" i="45"/>
  <c r="L30" i="45"/>
  <c r="N29" i="45"/>
  <c r="L29" i="45"/>
  <c r="N28" i="45"/>
  <c r="L28" i="45"/>
  <c r="N27" i="45"/>
  <c r="L27" i="45"/>
  <c r="N26" i="45"/>
  <c r="L26" i="45"/>
  <c r="N25" i="45"/>
  <c r="L25" i="45"/>
  <c r="N24" i="45"/>
  <c r="L24" i="45"/>
  <c r="N23" i="45"/>
  <c r="L23" i="45"/>
  <c r="N22" i="45"/>
  <c r="L22" i="45"/>
  <c r="N21" i="45"/>
  <c r="L21" i="45"/>
  <c r="N20" i="45"/>
  <c r="L20" i="45"/>
  <c r="N19" i="45"/>
  <c r="L19" i="45"/>
  <c r="C17" i="45"/>
  <c r="B17" i="45"/>
  <c r="I14" i="45"/>
  <c r="K11" i="45"/>
  <c r="P84" i="45"/>
  <c r="P155" i="44"/>
  <c r="O155" i="44"/>
  <c r="M155" i="44"/>
  <c r="J155" i="44"/>
  <c r="P154" i="44"/>
  <c r="O154" i="44"/>
  <c r="M154" i="44"/>
  <c r="J154" i="44"/>
  <c r="P153" i="44"/>
  <c r="O153" i="44"/>
  <c r="M153" i="44"/>
  <c r="J153" i="44"/>
  <c r="P152" i="44"/>
  <c r="O152" i="44"/>
  <c r="M152" i="44"/>
  <c r="J152" i="44"/>
  <c r="P151" i="44"/>
  <c r="O151" i="44"/>
  <c r="M151" i="44"/>
  <c r="J151" i="44"/>
  <c r="P150" i="44"/>
  <c r="O150" i="44"/>
  <c r="M150" i="44"/>
  <c r="J150" i="44"/>
  <c r="P149" i="44"/>
  <c r="O149" i="44"/>
  <c r="M149" i="44"/>
  <c r="J149" i="44"/>
  <c r="P148" i="44"/>
  <c r="O148" i="44"/>
  <c r="M148" i="44"/>
  <c r="J148" i="44"/>
  <c r="P147" i="44"/>
  <c r="O147" i="44"/>
  <c r="M147" i="44"/>
  <c r="J147" i="44"/>
  <c r="P146" i="44"/>
  <c r="O146" i="44"/>
  <c r="M146" i="44"/>
  <c r="J146" i="44"/>
  <c r="P145" i="44"/>
  <c r="O145" i="44"/>
  <c r="M145" i="44"/>
  <c r="J145" i="44"/>
  <c r="P144" i="44"/>
  <c r="O144" i="44"/>
  <c r="M144" i="44"/>
  <c r="J144" i="44"/>
  <c r="P143" i="44"/>
  <c r="O143" i="44"/>
  <c r="M143" i="44"/>
  <c r="J143" i="44"/>
  <c r="P142" i="44"/>
  <c r="O142" i="44"/>
  <c r="M142" i="44"/>
  <c r="J142" i="44"/>
  <c r="P141" i="44"/>
  <c r="O141" i="44"/>
  <c r="M141" i="44"/>
  <c r="J141" i="44"/>
  <c r="P140" i="44"/>
  <c r="O140" i="44"/>
  <c r="M140" i="44"/>
  <c r="J140" i="44"/>
  <c r="P139" i="44"/>
  <c r="O139" i="44"/>
  <c r="M139" i="44"/>
  <c r="J139" i="44"/>
  <c r="P138" i="44"/>
  <c r="O138" i="44"/>
  <c r="M138" i="44"/>
  <c r="J138" i="44"/>
  <c r="P137" i="44"/>
  <c r="O137" i="44"/>
  <c r="M137" i="44"/>
  <c r="J137" i="44"/>
  <c r="P136" i="44"/>
  <c r="O136" i="44"/>
  <c r="M136" i="44"/>
  <c r="J136" i="44"/>
  <c r="P135" i="44"/>
  <c r="O135" i="44"/>
  <c r="M135" i="44"/>
  <c r="J135" i="44"/>
  <c r="P134" i="44"/>
  <c r="O134" i="44"/>
  <c r="M134" i="44"/>
  <c r="J134" i="44"/>
  <c r="P133" i="44"/>
  <c r="O133" i="44"/>
  <c r="M133" i="44"/>
  <c r="J133" i="44"/>
  <c r="P132" i="44"/>
  <c r="O132" i="44"/>
  <c r="M132" i="44"/>
  <c r="J132" i="44"/>
  <c r="O131" i="44"/>
  <c r="P131" i="44" s="1"/>
  <c r="M131" i="44"/>
  <c r="O130" i="44"/>
  <c r="M130" i="44"/>
  <c r="O129" i="44"/>
  <c r="M129" i="44"/>
  <c r="O128" i="44"/>
  <c r="M128" i="44"/>
  <c r="O127" i="44"/>
  <c r="M127" i="44"/>
  <c r="O126" i="44"/>
  <c r="M126" i="44"/>
  <c r="O125" i="44"/>
  <c r="M125" i="44"/>
  <c r="O124" i="44"/>
  <c r="M124" i="44"/>
  <c r="O123" i="44"/>
  <c r="M123" i="44"/>
  <c r="O122" i="44"/>
  <c r="M122" i="44"/>
  <c r="O121" i="44"/>
  <c r="M121" i="44"/>
  <c r="O120" i="44"/>
  <c r="M120" i="44"/>
  <c r="O119" i="44"/>
  <c r="M119" i="44"/>
  <c r="O118" i="44"/>
  <c r="M118" i="44"/>
  <c r="O117" i="44"/>
  <c r="M117" i="44"/>
  <c r="O116" i="44"/>
  <c r="M116" i="44"/>
  <c r="O115" i="44"/>
  <c r="P115" i="44" s="1"/>
  <c r="M115" i="44"/>
  <c r="O114" i="44"/>
  <c r="M114" i="44"/>
  <c r="O113" i="44"/>
  <c r="M113" i="44"/>
  <c r="O112" i="44"/>
  <c r="M112" i="44"/>
  <c r="O111" i="44"/>
  <c r="P111" i="44" s="1"/>
  <c r="M111" i="44"/>
  <c r="O110" i="44"/>
  <c r="M110" i="44"/>
  <c r="O109" i="44"/>
  <c r="M109" i="44"/>
  <c r="O108" i="44"/>
  <c r="M108" i="44"/>
  <c r="O107" i="44"/>
  <c r="M107" i="44"/>
  <c r="O106" i="44"/>
  <c r="M106" i="44"/>
  <c r="O105" i="44"/>
  <c r="M105" i="44"/>
  <c r="O104" i="44"/>
  <c r="M104" i="44"/>
  <c r="O103" i="44"/>
  <c r="M103" i="44"/>
  <c r="O102" i="44"/>
  <c r="M102" i="44"/>
  <c r="O101" i="44"/>
  <c r="M101" i="44"/>
  <c r="J97" i="44"/>
  <c r="E100" i="44" s="1"/>
  <c r="D97" i="44"/>
  <c r="D95" i="44"/>
  <c r="L94" i="44"/>
  <c r="D94" i="44"/>
  <c r="D92" i="44"/>
  <c r="D91" i="44"/>
  <c r="D90" i="44"/>
  <c r="N73" i="44"/>
  <c r="L73" i="44"/>
  <c r="N72" i="44"/>
  <c r="L72" i="44"/>
  <c r="N71" i="44"/>
  <c r="L71" i="44"/>
  <c r="N70" i="44"/>
  <c r="L70" i="44"/>
  <c r="N69" i="44"/>
  <c r="L69" i="44"/>
  <c r="N68" i="44"/>
  <c r="L68" i="44"/>
  <c r="N67" i="44"/>
  <c r="L67" i="44"/>
  <c r="N66" i="44"/>
  <c r="L66" i="44"/>
  <c r="N65" i="44"/>
  <c r="L65" i="44"/>
  <c r="N64" i="44"/>
  <c r="L64" i="44"/>
  <c r="N63" i="44"/>
  <c r="L63" i="44"/>
  <c r="N62" i="44"/>
  <c r="L62" i="44"/>
  <c r="N61" i="44"/>
  <c r="L61" i="44"/>
  <c r="N60" i="44"/>
  <c r="L60" i="44"/>
  <c r="N59" i="44"/>
  <c r="L59" i="44"/>
  <c r="N58" i="44"/>
  <c r="L58" i="44"/>
  <c r="N57" i="44"/>
  <c r="L57" i="44"/>
  <c r="N56" i="44"/>
  <c r="L56" i="44"/>
  <c r="N55" i="44"/>
  <c r="L55" i="44"/>
  <c r="N54" i="44"/>
  <c r="L54" i="44"/>
  <c r="N53" i="44"/>
  <c r="L53" i="44"/>
  <c r="N52" i="44"/>
  <c r="L52" i="44"/>
  <c r="N51" i="44"/>
  <c r="L51" i="44"/>
  <c r="N50" i="44"/>
  <c r="L50" i="44"/>
  <c r="N49" i="44"/>
  <c r="L49" i="44"/>
  <c r="N48" i="44"/>
  <c r="L48" i="44"/>
  <c r="N47" i="44"/>
  <c r="L47" i="44"/>
  <c r="N46" i="44"/>
  <c r="L46" i="44"/>
  <c r="N45" i="44"/>
  <c r="L45" i="44"/>
  <c r="N44" i="44"/>
  <c r="L44" i="44"/>
  <c r="N43" i="44"/>
  <c r="L43" i="44"/>
  <c r="N42" i="44"/>
  <c r="L42" i="44"/>
  <c r="N41" i="44"/>
  <c r="L41" i="44"/>
  <c r="N40" i="44"/>
  <c r="L40" i="44"/>
  <c r="N39" i="44"/>
  <c r="L39" i="44"/>
  <c r="N38" i="44"/>
  <c r="L38" i="44"/>
  <c r="N37" i="44"/>
  <c r="L37" i="44"/>
  <c r="N36" i="44"/>
  <c r="L36" i="44"/>
  <c r="N35" i="44"/>
  <c r="L35" i="44"/>
  <c r="N34" i="44"/>
  <c r="L34" i="44"/>
  <c r="N33" i="44"/>
  <c r="L33" i="44"/>
  <c r="N32" i="44"/>
  <c r="L32" i="44"/>
  <c r="N31" i="44"/>
  <c r="L31" i="44"/>
  <c r="N30" i="44"/>
  <c r="L30" i="44"/>
  <c r="N29" i="44"/>
  <c r="L29" i="44"/>
  <c r="N28" i="44"/>
  <c r="L28" i="44"/>
  <c r="N27" i="44"/>
  <c r="L27" i="44"/>
  <c r="N26" i="44"/>
  <c r="L26" i="44"/>
  <c r="N25" i="44"/>
  <c r="O25" i="44" s="1"/>
  <c r="L25" i="44"/>
  <c r="N24" i="44"/>
  <c r="L24" i="44"/>
  <c r="N23" i="44"/>
  <c r="L23" i="44"/>
  <c r="N22" i="44"/>
  <c r="L22" i="44"/>
  <c r="N21" i="44"/>
  <c r="L21" i="44"/>
  <c r="N20" i="44"/>
  <c r="L20" i="44"/>
  <c r="N19" i="44"/>
  <c r="L19" i="44"/>
  <c r="N18" i="44"/>
  <c r="L18" i="44"/>
  <c r="C17" i="44"/>
  <c r="C18" i="44" s="1"/>
  <c r="C19" i="44" s="1"/>
  <c r="C20" i="44" s="1"/>
  <c r="C21" i="44" s="1"/>
  <c r="C22" i="44" s="1"/>
  <c r="C23" i="44" s="1"/>
  <c r="C24" i="44" s="1"/>
  <c r="C25" i="44" s="1"/>
  <c r="C26" i="44" s="1"/>
  <c r="C27" i="44" s="1"/>
  <c r="C28" i="44" s="1"/>
  <c r="C29" i="44" s="1"/>
  <c r="C30" i="44" s="1"/>
  <c r="C31" i="44" s="1"/>
  <c r="C32" i="44" s="1"/>
  <c r="C33" i="44" s="1"/>
  <c r="C34" i="44" s="1"/>
  <c r="C35" i="44" s="1"/>
  <c r="C36" i="44" s="1"/>
  <c r="C37" i="44" s="1"/>
  <c r="C38" i="44" s="1"/>
  <c r="C39" i="44" s="1"/>
  <c r="C40" i="44" s="1"/>
  <c r="C41" i="44" s="1"/>
  <c r="C42" i="44" s="1"/>
  <c r="C43" i="44" s="1"/>
  <c r="C44" i="44" s="1"/>
  <c r="C45" i="44" s="1"/>
  <c r="B17" i="44"/>
  <c r="I14" i="44"/>
  <c r="E18" i="44" s="1"/>
  <c r="F18" i="44" s="1"/>
  <c r="K11" i="44"/>
  <c r="P84" i="44"/>
  <c r="P155" i="43"/>
  <c r="O155" i="43"/>
  <c r="M155" i="43"/>
  <c r="J155" i="43"/>
  <c r="P154" i="43"/>
  <c r="O154" i="43"/>
  <c r="M154" i="43"/>
  <c r="J154" i="43"/>
  <c r="P153" i="43"/>
  <c r="O153" i="43"/>
  <c r="M153" i="43"/>
  <c r="J153" i="43"/>
  <c r="P152" i="43"/>
  <c r="O152" i="43"/>
  <c r="M152" i="43"/>
  <c r="J152" i="43"/>
  <c r="P151" i="43"/>
  <c r="O151" i="43"/>
  <c r="M151" i="43"/>
  <c r="J151" i="43"/>
  <c r="P150" i="43"/>
  <c r="O150" i="43"/>
  <c r="M150" i="43"/>
  <c r="J150" i="43"/>
  <c r="P149" i="43"/>
  <c r="O149" i="43"/>
  <c r="M149" i="43"/>
  <c r="J149" i="43"/>
  <c r="P148" i="43"/>
  <c r="O148" i="43"/>
  <c r="M148" i="43"/>
  <c r="J148" i="43"/>
  <c r="P147" i="43"/>
  <c r="O147" i="43"/>
  <c r="M147" i="43"/>
  <c r="J147" i="43"/>
  <c r="P146" i="43"/>
  <c r="O146" i="43"/>
  <c r="M146" i="43"/>
  <c r="J146" i="43"/>
  <c r="P145" i="43"/>
  <c r="O145" i="43"/>
  <c r="M145" i="43"/>
  <c r="J145" i="43"/>
  <c r="P144" i="43"/>
  <c r="O144" i="43"/>
  <c r="M144" i="43"/>
  <c r="J144" i="43"/>
  <c r="P143" i="43"/>
  <c r="O143" i="43"/>
  <c r="M143" i="43"/>
  <c r="J143" i="43"/>
  <c r="P142" i="43"/>
  <c r="O142" i="43"/>
  <c r="M142" i="43"/>
  <c r="J142" i="43"/>
  <c r="P141" i="43"/>
  <c r="O141" i="43"/>
  <c r="M141" i="43"/>
  <c r="J141" i="43"/>
  <c r="P140" i="43"/>
  <c r="O140" i="43"/>
  <c r="M140" i="43"/>
  <c r="J140" i="43"/>
  <c r="P139" i="43"/>
  <c r="O139" i="43"/>
  <c r="M139" i="43"/>
  <c r="J139" i="43"/>
  <c r="P138" i="43"/>
  <c r="O138" i="43"/>
  <c r="M138" i="43"/>
  <c r="J138" i="43"/>
  <c r="P137" i="43"/>
  <c r="O137" i="43"/>
  <c r="M137" i="43"/>
  <c r="J137" i="43"/>
  <c r="P136" i="43"/>
  <c r="O136" i="43"/>
  <c r="M136" i="43"/>
  <c r="J136" i="43"/>
  <c r="P135" i="43"/>
  <c r="O135" i="43"/>
  <c r="M135" i="43"/>
  <c r="J135" i="43"/>
  <c r="P134" i="43"/>
  <c r="O134" i="43"/>
  <c r="M134" i="43"/>
  <c r="J134" i="43"/>
  <c r="P133" i="43"/>
  <c r="O133" i="43"/>
  <c r="M133" i="43"/>
  <c r="J133" i="43"/>
  <c r="P132" i="43"/>
  <c r="O132" i="43"/>
  <c r="M132" i="43"/>
  <c r="J132" i="43"/>
  <c r="O131" i="43"/>
  <c r="M131" i="43"/>
  <c r="O130" i="43"/>
  <c r="M130" i="43"/>
  <c r="O129" i="43"/>
  <c r="M129" i="43"/>
  <c r="O128" i="43"/>
  <c r="M128" i="43"/>
  <c r="O127" i="43"/>
  <c r="M127" i="43"/>
  <c r="O126" i="43"/>
  <c r="M126" i="43"/>
  <c r="O125" i="43"/>
  <c r="M125" i="43"/>
  <c r="O124" i="43"/>
  <c r="M124" i="43"/>
  <c r="O123" i="43"/>
  <c r="M123" i="43"/>
  <c r="O122" i="43"/>
  <c r="M122" i="43"/>
  <c r="O121" i="43"/>
  <c r="M121" i="43"/>
  <c r="O120" i="43"/>
  <c r="M120" i="43"/>
  <c r="O119" i="43"/>
  <c r="M119" i="43"/>
  <c r="O118" i="43"/>
  <c r="M118" i="43"/>
  <c r="O117" i="43"/>
  <c r="M117" i="43"/>
  <c r="O116" i="43"/>
  <c r="M116" i="43"/>
  <c r="O115" i="43"/>
  <c r="M115" i="43"/>
  <c r="O114" i="43"/>
  <c r="M114" i="43"/>
  <c r="O113" i="43"/>
  <c r="M113" i="43"/>
  <c r="O112" i="43"/>
  <c r="M112" i="43"/>
  <c r="O111" i="43"/>
  <c r="M111" i="43"/>
  <c r="O110" i="43"/>
  <c r="M110" i="43"/>
  <c r="O109" i="43"/>
  <c r="M109" i="43"/>
  <c r="O108" i="43"/>
  <c r="M108" i="43"/>
  <c r="O107" i="43"/>
  <c r="M107" i="43"/>
  <c r="O106" i="43"/>
  <c r="M106" i="43"/>
  <c r="O105" i="43"/>
  <c r="M105" i="43"/>
  <c r="O104" i="43"/>
  <c r="M104" i="43"/>
  <c r="O103" i="43"/>
  <c r="M103" i="43"/>
  <c r="O102" i="43"/>
  <c r="M102" i="43"/>
  <c r="J97" i="43"/>
  <c r="L94" i="43"/>
  <c r="D92" i="43"/>
  <c r="D91" i="43"/>
  <c r="D90" i="43"/>
  <c r="N88" i="43"/>
  <c r="N73" i="43"/>
  <c r="L73" i="43"/>
  <c r="N72" i="43"/>
  <c r="L72" i="43"/>
  <c r="N71" i="43"/>
  <c r="L71" i="43"/>
  <c r="N70" i="43"/>
  <c r="L70" i="43"/>
  <c r="N69" i="43"/>
  <c r="L69" i="43"/>
  <c r="N68" i="43"/>
  <c r="L68" i="43"/>
  <c r="N67" i="43"/>
  <c r="L67" i="43"/>
  <c r="N66" i="43"/>
  <c r="L66" i="43"/>
  <c r="N65" i="43"/>
  <c r="L65" i="43"/>
  <c r="N64" i="43"/>
  <c r="L64" i="43"/>
  <c r="N63" i="43"/>
  <c r="L63" i="43"/>
  <c r="N62" i="43"/>
  <c r="L62" i="43"/>
  <c r="N61" i="43"/>
  <c r="L61" i="43"/>
  <c r="N60" i="43"/>
  <c r="L60" i="43"/>
  <c r="N59" i="43"/>
  <c r="L59" i="43"/>
  <c r="N58" i="43"/>
  <c r="L58" i="43"/>
  <c r="N57" i="43"/>
  <c r="L57" i="43"/>
  <c r="N56" i="43"/>
  <c r="L56" i="43"/>
  <c r="N55" i="43"/>
  <c r="L55" i="43"/>
  <c r="N54" i="43"/>
  <c r="L54" i="43"/>
  <c r="N53" i="43"/>
  <c r="L53" i="43"/>
  <c r="N52" i="43"/>
  <c r="L52" i="43"/>
  <c r="N51" i="43"/>
  <c r="L51" i="43"/>
  <c r="N50" i="43"/>
  <c r="L50" i="43"/>
  <c r="N49" i="43"/>
  <c r="L49" i="43"/>
  <c r="N48" i="43"/>
  <c r="L48" i="43"/>
  <c r="N47" i="43"/>
  <c r="L47" i="43"/>
  <c r="N46" i="43"/>
  <c r="L46" i="43"/>
  <c r="N45" i="43"/>
  <c r="L45" i="43"/>
  <c r="N44" i="43"/>
  <c r="L44" i="43"/>
  <c r="N43" i="43"/>
  <c r="L43" i="43"/>
  <c r="N42" i="43"/>
  <c r="L42" i="43"/>
  <c r="N41" i="43"/>
  <c r="L41" i="43"/>
  <c r="N40" i="43"/>
  <c r="L40" i="43"/>
  <c r="N39" i="43"/>
  <c r="L39" i="43"/>
  <c r="N38" i="43"/>
  <c r="L38" i="43"/>
  <c r="N37" i="43"/>
  <c r="L37" i="43"/>
  <c r="N36" i="43"/>
  <c r="L36" i="43"/>
  <c r="N35" i="43"/>
  <c r="L35" i="43"/>
  <c r="N34" i="43"/>
  <c r="L34" i="43"/>
  <c r="N33" i="43"/>
  <c r="L33" i="43"/>
  <c r="N32" i="43"/>
  <c r="L32" i="43"/>
  <c r="N31" i="43"/>
  <c r="L31" i="43"/>
  <c r="N30" i="43"/>
  <c r="L30" i="43"/>
  <c r="N29" i="43"/>
  <c r="L29" i="43"/>
  <c r="N28" i="43"/>
  <c r="L28" i="43"/>
  <c r="N27" i="43"/>
  <c r="L27" i="43"/>
  <c r="N26" i="43"/>
  <c r="L26" i="43"/>
  <c r="N25" i="43"/>
  <c r="L25" i="43"/>
  <c r="N24" i="43"/>
  <c r="L24" i="43"/>
  <c r="N23" i="43"/>
  <c r="L23" i="43"/>
  <c r="N22" i="43"/>
  <c r="L22" i="43"/>
  <c r="N21" i="43"/>
  <c r="L21" i="43"/>
  <c r="N20" i="43"/>
  <c r="L20" i="43"/>
  <c r="N19" i="43"/>
  <c r="L19" i="43"/>
  <c r="N18" i="43"/>
  <c r="L18" i="43"/>
  <c r="C17" i="43"/>
  <c r="B17" i="43"/>
  <c r="I14" i="43"/>
  <c r="K11" i="43"/>
  <c r="P84" i="43"/>
  <c r="O60" i="45" l="1"/>
  <c r="P113" i="44"/>
  <c r="P121" i="44"/>
  <c r="O24" i="44"/>
  <c r="O32" i="44"/>
  <c r="O52" i="44"/>
  <c r="O56" i="44"/>
  <c r="P129" i="44"/>
  <c r="H18" i="44"/>
  <c r="G18" i="44"/>
  <c r="O64" i="44"/>
  <c r="O57" i="44"/>
  <c r="O73" i="44"/>
  <c r="O21" i="43"/>
  <c r="O41" i="43"/>
  <c r="O53" i="43"/>
  <c r="O57" i="43"/>
  <c r="O61" i="43"/>
  <c r="O71" i="43"/>
  <c r="O73" i="43"/>
  <c r="O21" i="45"/>
  <c r="O25" i="45"/>
  <c r="O57" i="45"/>
  <c r="O69" i="45"/>
  <c r="O73" i="45"/>
  <c r="O35" i="44"/>
  <c r="O71" i="44"/>
  <c r="O24" i="45"/>
  <c r="O32" i="45"/>
  <c r="O34" i="45"/>
  <c r="O42" i="45"/>
  <c r="O50" i="45"/>
  <c r="O58" i="45"/>
  <c r="O40" i="45"/>
  <c r="O19" i="45"/>
  <c r="O23" i="45"/>
  <c r="O56" i="45"/>
  <c r="O22" i="45"/>
  <c r="O30" i="45"/>
  <c r="O47" i="45"/>
  <c r="O62" i="45"/>
  <c r="O70" i="45"/>
  <c r="P102" i="45"/>
  <c r="P106" i="45"/>
  <c r="P118" i="45"/>
  <c r="O20" i="45"/>
  <c r="O27" i="45"/>
  <c r="O39" i="45"/>
  <c r="O66" i="45"/>
  <c r="O44" i="45"/>
  <c r="O63" i="45"/>
  <c r="O67" i="45"/>
  <c r="P107" i="45"/>
  <c r="P131" i="45"/>
  <c r="O29" i="45"/>
  <c r="O33" i="45"/>
  <c r="O41" i="45"/>
  <c r="O49" i="45"/>
  <c r="P120" i="45"/>
  <c r="O65" i="45"/>
  <c r="O46" i="45"/>
  <c r="O54" i="45"/>
  <c r="O36" i="45"/>
  <c r="O43" i="45"/>
  <c r="O64" i="45"/>
  <c r="O71" i="45"/>
  <c r="O26" i="45"/>
  <c r="O48" i="45"/>
  <c r="O51" i="45"/>
  <c r="O55" i="45"/>
  <c r="O72" i="45"/>
  <c r="O37" i="45"/>
  <c r="O31" i="45"/>
  <c r="O52" i="45"/>
  <c r="O59" i="45"/>
  <c r="O28" i="45"/>
  <c r="O53" i="45"/>
  <c r="O34" i="44"/>
  <c r="O42" i="44"/>
  <c r="O50" i="44"/>
  <c r="O58" i="44"/>
  <c r="O23" i="44"/>
  <c r="O31" i="44"/>
  <c r="O55" i="44"/>
  <c r="O63" i="44"/>
  <c r="O66" i="44"/>
  <c r="O70" i="44"/>
  <c r="O40" i="44"/>
  <c r="O48" i="44"/>
  <c r="O67" i="44"/>
  <c r="O18" i="44"/>
  <c r="O33" i="44"/>
  <c r="O26" i="44"/>
  <c r="O37" i="44"/>
  <c r="O41" i="44"/>
  <c r="O49" i="44"/>
  <c r="O27" i="44"/>
  <c r="O47" i="44"/>
  <c r="O54" i="44"/>
  <c r="O36" i="44"/>
  <c r="O53" i="44"/>
  <c r="P102" i="44"/>
  <c r="P106" i="44"/>
  <c r="P110" i="44"/>
  <c r="P114" i="44"/>
  <c r="P118" i="44"/>
  <c r="P122" i="44"/>
  <c r="P126" i="44"/>
  <c r="P130" i="44"/>
  <c r="O20" i="44"/>
  <c r="O43" i="44"/>
  <c r="O60" i="44"/>
  <c r="O19" i="44"/>
  <c r="O21" i="44"/>
  <c r="O38" i="44"/>
  <c r="O51" i="44"/>
  <c r="O65" i="44"/>
  <c r="O69" i="44"/>
  <c r="O72" i="44"/>
  <c r="P104" i="44"/>
  <c r="P108" i="44"/>
  <c r="P112" i="44"/>
  <c r="P116" i="44"/>
  <c r="P120" i="44"/>
  <c r="P124" i="44"/>
  <c r="P128" i="44"/>
  <c r="O29" i="44"/>
  <c r="O59" i="44"/>
  <c r="O44" i="44"/>
  <c r="O61" i="44"/>
  <c r="O22" i="44"/>
  <c r="O28" i="44"/>
  <c r="O39" i="44"/>
  <c r="O45" i="44"/>
  <c r="O39" i="43"/>
  <c r="O70" i="43"/>
  <c r="O24" i="43"/>
  <c r="O28" i="43"/>
  <c r="O44" i="43"/>
  <c r="O52" i="43"/>
  <c r="O56" i="43"/>
  <c r="O60" i="43"/>
  <c r="O37" i="43"/>
  <c r="O49" i="43"/>
  <c r="O47" i="43"/>
  <c r="O55" i="43"/>
  <c r="O29" i="43"/>
  <c r="O33" i="43"/>
  <c r="P102" i="43"/>
  <c r="P106" i="43"/>
  <c r="P110" i="43"/>
  <c r="P114" i="43"/>
  <c r="P118" i="43"/>
  <c r="P122" i="43"/>
  <c r="P126" i="43"/>
  <c r="P130" i="43"/>
  <c r="O36" i="43"/>
  <c r="O25" i="43"/>
  <c r="O34" i="43"/>
  <c r="O45" i="43"/>
  <c r="O72" i="43"/>
  <c r="O20" i="43"/>
  <c r="P104" i="43"/>
  <c r="P108" i="43"/>
  <c r="P112" i="43"/>
  <c r="P116" i="43"/>
  <c r="P120" i="43"/>
  <c r="P124" i="43"/>
  <c r="P128" i="43"/>
  <c r="O23" i="43"/>
  <c r="O40" i="43"/>
  <c r="O50" i="43"/>
  <c r="O64" i="43"/>
  <c r="O68" i="43"/>
  <c r="O63" i="43"/>
  <c r="O26" i="43"/>
  <c r="O18" i="43"/>
  <c r="O31" i="43"/>
  <c r="O48" i="43"/>
  <c r="O58" i="43"/>
  <c r="O65" i="43"/>
  <c r="O69" i="43"/>
  <c r="O22" i="43"/>
  <c r="O32" i="43"/>
  <c r="O42" i="43"/>
  <c r="O66" i="43"/>
  <c r="O17" i="42"/>
  <c r="C18" i="45"/>
  <c r="C19" i="45" s="1"/>
  <c r="C20" i="45" s="1"/>
  <c r="C21" i="45" s="1"/>
  <c r="C22" i="45" s="1"/>
  <c r="C23" i="45" s="1"/>
  <c r="C24" i="45" s="1"/>
  <c r="C25" i="45" s="1"/>
  <c r="C26" i="45" s="1"/>
  <c r="C27" i="45" s="1"/>
  <c r="C28" i="45" s="1"/>
  <c r="C29" i="45" s="1"/>
  <c r="C30" i="45" s="1"/>
  <c r="C31" i="45" s="1"/>
  <c r="C32" i="45" s="1"/>
  <c r="C33" i="45" s="1"/>
  <c r="C34" i="45" s="1"/>
  <c r="C35" i="45" s="1"/>
  <c r="C36" i="45" s="1"/>
  <c r="C37" i="45" s="1"/>
  <c r="C38" i="45" s="1"/>
  <c r="C39" i="45" s="1"/>
  <c r="C40" i="45" s="1"/>
  <c r="C41" i="45" s="1"/>
  <c r="C42" i="45" s="1"/>
  <c r="C43" i="45" s="1"/>
  <c r="C44" i="45" s="1"/>
  <c r="C45" i="45" s="1"/>
  <c r="C46" i="45" s="1"/>
  <c r="C47" i="45" s="1"/>
  <c r="C48" i="45" s="1"/>
  <c r="C49" i="45" s="1"/>
  <c r="C50" i="45" s="1"/>
  <c r="C51" i="45" s="1"/>
  <c r="C52" i="45" s="1"/>
  <c r="C53" i="45" s="1"/>
  <c r="C54" i="45" s="1"/>
  <c r="C55" i="45" s="1"/>
  <c r="C56" i="45" s="1"/>
  <c r="C57" i="45" s="1"/>
  <c r="C58" i="45" s="1"/>
  <c r="C59" i="45" s="1"/>
  <c r="C60" i="45" s="1"/>
  <c r="C61" i="45" s="1"/>
  <c r="C62" i="45" s="1"/>
  <c r="C63" i="45" s="1"/>
  <c r="C64" i="45" s="1"/>
  <c r="C65" i="45" s="1"/>
  <c r="C66" i="45" s="1"/>
  <c r="C67" i="45" s="1"/>
  <c r="C68" i="45" s="1"/>
  <c r="C69" i="45" s="1"/>
  <c r="C70" i="45" s="1"/>
  <c r="C71" i="45" s="1"/>
  <c r="C72" i="45" s="1"/>
  <c r="C73" i="45" s="1"/>
  <c r="P103" i="45"/>
  <c r="O38" i="45"/>
  <c r="O45" i="45"/>
  <c r="O61" i="45"/>
  <c r="P119" i="45"/>
  <c r="O35" i="45"/>
  <c r="P104" i="45"/>
  <c r="P125" i="45"/>
  <c r="P130" i="45"/>
  <c r="P105" i="45"/>
  <c r="P124" i="45"/>
  <c r="M88" i="45"/>
  <c r="O88" i="45" s="1"/>
  <c r="L87" i="45"/>
  <c r="P116" i="45"/>
  <c r="P117" i="45"/>
  <c r="P129" i="45"/>
  <c r="C100" i="45"/>
  <c r="B100" i="45" s="1"/>
  <c r="P114" i="45"/>
  <c r="P115" i="45"/>
  <c r="P123" i="45"/>
  <c r="P128" i="45"/>
  <c r="P112" i="45"/>
  <c r="P113" i="45"/>
  <c r="P122" i="45"/>
  <c r="P110" i="45"/>
  <c r="P111" i="45"/>
  <c r="P127" i="45"/>
  <c r="O68" i="45"/>
  <c r="P108" i="45"/>
  <c r="P109" i="45"/>
  <c r="P121" i="45"/>
  <c r="P126" i="45"/>
  <c r="C46" i="44"/>
  <c r="C47" i="44" s="1"/>
  <c r="C48" i="44" s="1"/>
  <c r="C49" i="44" s="1"/>
  <c r="C50" i="44" s="1"/>
  <c r="C51" i="44" s="1"/>
  <c r="C52" i="44" s="1"/>
  <c r="C53" i="44" s="1"/>
  <c r="C54" i="44" s="1"/>
  <c r="C55" i="44" s="1"/>
  <c r="C56" i="44" s="1"/>
  <c r="C57" i="44" s="1"/>
  <c r="C58" i="44" s="1"/>
  <c r="C59" i="44" s="1"/>
  <c r="C60" i="44" s="1"/>
  <c r="C61" i="44" s="1"/>
  <c r="C62" i="44" s="1"/>
  <c r="C63" i="44" s="1"/>
  <c r="C64" i="44" s="1"/>
  <c r="C65" i="44" s="1"/>
  <c r="C66" i="44" s="1"/>
  <c r="C67" i="44" s="1"/>
  <c r="C68" i="44" s="1"/>
  <c r="C69" i="44" s="1"/>
  <c r="C70" i="44" s="1"/>
  <c r="C71" i="44" s="1"/>
  <c r="C72" i="44" s="1"/>
  <c r="C73" i="44" s="1"/>
  <c r="C100" i="44"/>
  <c r="D100" i="44" s="1"/>
  <c r="B100" i="44" s="1"/>
  <c r="C101" i="44"/>
  <c r="C102" i="44" s="1"/>
  <c r="C103" i="44" s="1"/>
  <c r="C104" i="44" s="1"/>
  <c r="C105" i="44" s="1"/>
  <c r="C106" i="44" s="1"/>
  <c r="C107" i="44" s="1"/>
  <c r="C108" i="44" s="1"/>
  <c r="C109" i="44" s="1"/>
  <c r="C110" i="44" s="1"/>
  <c r="C111" i="44" s="1"/>
  <c r="C112" i="44" s="1"/>
  <c r="C113" i="44" s="1"/>
  <c r="C114" i="44" s="1"/>
  <c r="C115" i="44" s="1"/>
  <c r="C116" i="44" s="1"/>
  <c r="C117" i="44" s="1"/>
  <c r="C118" i="44" s="1"/>
  <c r="C119" i="44" s="1"/>
  <c r="C120" i="44" s="1"/>
  <c r="C121" i="44" s="1"/>
  <c r="C122" i="44" s="1"/>
  <c r="C123" i="44" s="1"/>
  <c r="C124" i="44" s="1"/>
  <c r="C125" i="44" s="1"/>
  <c r="C126" i="44" s="1"/>
  <c r="C127" i="44" s="1"/>
  <c r="C128" i="44" s="1"/>
  <c r="C129" i="44" s="1"/>
  <c r="C130" i="44" s="1"/>
  <c r="C131" i="44" s="1"/>
  <c r="C132" i="44" s="1"/>
  <c r="C133" i="44" s="1"/>
  <c r="C134" i="44" s="1"/>
  <c r="C135" i="44" s="1"/>
  <c r="C136" i="44" s="1"/>
  <c r="C137" i="44" s="1"/>
  <c r="C138" i="44" s="1"/>
  <c r="C139" i="44" s="1"/>
  <c r="C140" i="44" s="1"/>
  <c r="C141" i="44" s="1"/>
  <c r="C142" i="44" s="1"/>
  <c r="C143" i="44" s="1"/>
  <c r="C144" i="44" s="1"/>
  <c r="C145" i="44" s="1"/>
  <c r="C146" i="44" s="1"/>
  <c r="C147" i="44" s="1"/>
  <c r="C148" i="44" s="1"/>
  <c r="C149" i="44" s="1"/>
  <c r="C150" i="44" s="1"/>
  <c r="C151" i="44" s="1"/>
  <c r="C152" i="44" s="1"/>
  <c r="C153" i="44" s="1"/>
  <c r="C154" i="44" s="1"/>
  <c r="C155" i="44" s="1"/>
  <c r="O30" i="44"/>
  <c r="O46" i="44"/>
  <c r="O62" i="44"/>
  <c r="P105" i="44"/>
  <c r="P127" i="44"/>
  <c r="N88" i="44"/>
  <c r="M88" i="44"/>
  <c r="L87" i="44"/>
  <c r="O68" i="44"/>
  <c r="P101" i="44"/>
  <c r="P117" i="44"/>
  <c r="P107" i="44"/>
  <c r="P123" i="44"/>
  <c r="P103" i="44"/>
  <c r="P119" i="44"/>
  <c r="P109" i="44"/>
  <c r="P125" i="44"/>
  <c r="O19" i="43"/>
  <c r="O30" i="43"/>
  <c r="C18" i="43"/>
  <c r="C19" i="43" s="1"/>
  <c r="C20" i="43" s="1"/>
  <c r="C21" i="43" s="1"/>
  <c r="C22" i="43" s="1"/>
  <c r="C23" i="43" s="1"/>
  <c r="C24" i="43" s="1"/>
  <c r="C25" i="43" s="1"/>
  <c r="C26" i="43" s="1"/>
  <c r="C27" i="43" s="1"/>
  <c r="C28" i="43" s="1"/>
  <c r="C29" i="43" s="1"/>
  <c r="C30" i="43" s="1"/>
  <c r="C31" i="43" s="1"/>
  <c r="C32" i="43" s="1"/>
  <c r="C33" i="43" s="1"/>
  <c r="C34" i="43" s="1"/>
  <c r="C35" i="43" s="1"/>
  <c r="C36" i="43" s="1"/>
  <c r="C37" i="43" s="1"/>
  <c r="C38" i="43" s="1"/>
  <c r="C39" i="43" s="1"/>
  <c r="C40" i="43" s="1"/>
  <c r="C41" i="43" s="1"/>
  <c r="C42" i="43" s="1"/>
  <c r="C43" i="43" s="1"/>
  <c r="C44" i="43" s="1"/>
  <c r="C45" i="43" s="1"/>
  <c r="C46" i="43" s="1"/>
  <c r="C47" i="43" s="1"/>
  <c r="C48" i="43" s="1"/>
  <c r="C49" i="43" s="1"/>
  <c r="C50" i="43" s="1"/>
  <c r="C51" i="43" s="1"/>
  <c r="C52" i="43" s="1"/>
  <c r="C53" i="43" s="1"/>
  <c r="C54" i="43" s="1"/>
  <c r="C55" i="43" s="1"/>
  <c r="C56" i="43" s="1"/>
  <c r="C57" i="43" s="1"/>
  <c r="C58" i="43" s="1"/>
  <c r="C59" i="43" s="1"/>
  <c r="C60" i="43" s="1"/>
  <c r="C61" i="43" s="1"/>
  <c r="C62" i="43" s="1"/>
  <c r="C63" i="43" s="1"/>
  <c r="C64" i="43" s="1"/>
  <c r="C65" i="43" s="1"/>
  <c r="C66" i="43" s="1"/>
  <c r="C67" i="43" s="1"/>
  <c r="C68" i="43" s="1"/>
  <c r="C69" i="43" s="1"/>
  <c r="C70" i="43" s="1"/>
  <c r="C71" i="43" s="1"/>
  <c r="C72" i="43" s="1"/>
  <c r="C73" i="43" s="1"/>
  <c r="O62" i="43"/>
  <c r="O35" i="43"/>
  <c r="O51" i="43"/>
  <c r="O27" i="43"/>
  <c r="O38" i="43"/>
  <c r="O43" i="43"/>
  <c r="O54" i="43"/>
  <c r="O59" i="43"/>
  <c r="O46" i="43"/>
  <c r="C100" i="43"/>
  <c r="B100" i="43" s="1"/>
  <c r="O67" i="43"/>
  <c r="P103" i="43"/>
  <c r="P105" i="43"/>
  <c r="P107" i="43"/>
  <c r="P109" i="43"/>
  <c r="P111" i="43"/>
  <c r="P113" i="43"/>
  <c r="P115" i="43"/>
  <c r="P117" i="43"/>
  <c r="P119" i="43"/>
  <c r="P121" i="43"/>
  <c r="P123" i="43"/>
  <c r="P125" i="43"/>
  <c r="P127" i="43"/>
  <c r="P129" i="43"/>
  <c r="P131" i="43"/>
  <c r="L87" i="43"/>
  <c r="M88" i="43"/>
  <c r="O88" i="43" s="1"/>
  <c r="C101" i="43" l="1"/>
  <c r="C102" i="43" s="1"/>
  <c r="C103" i="43" s="1"/>
  <c r="C104" i="43" s="1"/>
  <c r="C105" i="43" s="1"/>
  <c r="C106" i="43" s="1"/>
  <c r="C107" i="43" s="1"/>
  <c r="C108" i="43" s="1"/>
  <c r="C109" i="43" s="1"/>
  <c r="C110" i="43" s="1"/>
  <c r="C111" i="43" s="1"/>
  <c r="C112" i="43" s="1"/>
  <c r="C113" i="43" s="1"/>
  <c r="C114" i="43" s="1"/>
  <c r="C115" i="43" s="1"/>
  <c r="C116" i="43" s="1"/>
  <c r="C117" i="43" s="1"/>
  <c r="C118" i="43" s="1"/>
  <c r="C119" i="43" s="1"/>
  <c r="C120" i="43" s="1"/>
  <c r="C121" i="43" s="1"/>
  <c r="C122" i="43" s="1"/>
  <c r="C123" i="43" s="1"/>
  <c r="C124" i="43" s="1"/>
  <c r="C125" i="43" s="1"/>
  <c r="C126" i="43" s="1"/>
  <c r="C127" i="43" s="1"/>
  <c r="C128" i="43" s="1"/>
  <c r="C129" i="43" s="1"/>
  <c r="C130" i="43" s="1"/>
  <c r="C131" i="43" s="1"/>
  <c r="C132" i="43" s="1"/>
  <c r="C133" i="43" s="1"/>
  <c r="C134" i="43" s="1"/>
  <c r="C135" i="43" s="1"/>
  <c r="C136" i="43" s="1"/>
  <c r="C137" i="43" s="1"/>
  <c r="C138" i="43" s="1"/>
  <c r="C139" i="43" s="1"/>
  <c r="C140" i="43" s="1"/>
  <c r="C141" i="43" s="1"/>
  <c r="C142" i="43" s="1"/>
  <c r="C143" i="43" s="1"/>
  <c r="C144" i="43" s="1"/>
  <c r="C145" i="43" s="1"/>
  <c r="C146" i="43" s="1"/>
  <c r="C147" i="43" s="1"/>
  <c r="C148" i="43" s="1"/>
  <c r="C149" i="43" s="1"/>
  <c r="C150" i="43" s="1"/>
  <c r="C151" i="43" s="1"/>
  <c r="C152" i="43" s="1"/>
  <c r="C153" i="43" s="1"/>
  <c r="C154" i="43" s="1"/>
  <c r="C155" i="43" s="1"/>
  <c r="C101" i="45"/>
  <c r="C102" i="45" s="1"/>
  <c r="C103" i="45" s="1"/>
  <c r="C104" i="45" s="1"/>
  <c r="C105" i="45" s="1"/>
  <c r="C106" i="45" s="1"/>
  <c r="C107" i="45" s="1"/>
  <c r="C108" i="45" s="1"/>
  <c r="C109" i="45" s="1"/>
  <c r="C110" i="45" s="1"/>
  <c r="C111" i="45" s="1"/>
  <c r="C112" i="45" s="1"/>
  <c r="C113" i="45" s="1"/>
  <c r="C114" i="45" s="1"/>
  <c r="C115" i="45" s="1"/>
  <c r="C116" i="45" s="1"/>
  <c r="C117" i="45" s="1"/>
  <c r="C118" i="45" s="1"/>
  <c r="C119" i="45" s="1"/>
  <c r="C120" i="45" s="1"/>
  <c r="C121" i="45" s="1"/>
  <c r="C122" i="45" s="1"/>
  <c r="C123" i="45" s="1"/>
  <c r="C124" i="45" s="1"/>
  <c r="C125" i="45" s="1"/>
  <c r="C126" i="45" s="1"/>
  <c r="C127" i="45" s="1"/>
  <c r="C128" i="45" s="1"/>
  <c r="C129" i="45" s="1"/>
  <c r="C130" i="45" s="1"/>
  <c r="C131" i="45" s="1"/>
  <c r="C132" i="45" s="1"/>
  <c r="C133" i="45" s="1"/>
  <c r="C134" i="45" s="1"/>
  <c r="C135" i="45" s="1"/>
  <c r="C136" i="45" s="1"/>
  <c r="C137" i="45" s="1"/>
  <c r="C138" i="45" s="1"/>
  <c r="C139" i="45" s="1"/>
  <c r="C140" i="45" s="1"/>
  <c r="C141" i="45" s="1"/>
  <c r="C142" i="45" s="1"/>
  <c r="C143" i="45" s="1"/>
  <c r="C144" i="45" s="1"/>
  <c r="C145" i="45" s="1"/>
  <c r="C146" i="45" s="1"/>
  <c r="C147" i="45" s="1"/>
  <c r="C148" i="45" s="1"/>
  <c r="C149" i="45" s="1"/>
  <c r="C150" i="45" s="1"/>
  <c r="C151" i="45" s="1"/>
  <c r="C152" i="45" s="1"/>
  <c r="C153" i="45" s="1"/>
  <c r="C154" i="45" s="1"/>
  <c r="C155" i="45" s="1"/>
  <c r="O88" i="44"/>
  <c r="F100" i="44"/>
  <c r="G100" i="44" s="1"/>
  <c r="D18" i="43"/>
  <c r="E18" i="43"/>
  <c r="N6" i="43"/>
  <c r="D101" i="44" l="1"/>
  <c r="B18" i="45"/>
  <c r="D101" i="45"/>
  <c r="E101" i="45"/>
  <c r="H100" i="44"/>
  <c r="M89" i="44" s="1"/>
  <c r="M90" i="44" s="1"/>
  <c r="I100" i="44"/>
  <c r="N89" i="44" s="1"/>
  <c r="B18" i="44"/>
  <c r="I17" i="44"/>
  <c r="B101" i="44"/>
  <c r="E101" i="44"/>
  <c r="F101" i="44" s="1"/>
  <c r="D101" i="43"/>
  <c r="E101" i="43"/>
  <c r="N5" i="43"/>
  <c r="N7" i="43" s="1"/>
  <c r="B18" i="43"/>
  <c r="F18" i="43"/>
  <c r="N90" i="44" l="1"/>
  <c r="O89" i="44"/>
  <c r="O90" i="44" s="1"/>
  <c r="F101" i="45"/>
  <c r="H101" i="45" s="1"/>
  <c r="L101" i="45" s="1"/>
  <c r="M101" i="45" s="1"/>
  <c r="B101" i="45"/>
  <c r="M89" i="45"/>
  <c r="M90" i="45" s="1"/>
  <c r="D19" i="44"/>
  <c r="E19" i="44" s="1"/>
  <c r="D102" i="44"/>
  <c r="E102" i="44" s="1"/>
  <c r="G101" i="44"/>
  <c r="I101" i="44" s="1"/>
  <c r="H101" i="44"/>
  <c r="N100" i="44"/>
  <c r="O100" i="44" s="1"/>
  <c r="J100" i="44"/>
  <c r="N7" i="44"/>
  <c r="L100" i="44"/>
  <c r="M100" i="44" s="1"/>
  <c r="D19" i="43"/>
  <c r="E19" i="43"/>
  <c r="G18" i="43"/>
  <c r="H18" i="43"/>
  <c r="F101" i="43"/>
  <c r="H101" i="43" s="1"/>
  <c r="L101" i="43" s="1"/>
  <c r="M101" i="43" s="1"/>
  <c r="B101" i="43"/>
  <c r="M89" i="43" l="1"/>
  <c r="M90" i="43" s="1"/>
  <c r="P100" i="44"/>
  <c r="L100" i="45"/>
  <c r="M100" i="45" s="1"/>
  <c r="D19" i="45"/>
  <c r="G101" i="45"/>
  <c r="I101" i="45" s="1"/>
  <c r="N101" i="45" s="1"/>
  <c r="O101" i="45" s="1"/>
  <c r="P101" i="45" s="1"/>
  <c r="D102" i="45"/>
  <c r="J100" i="45"/>
  <c r="N100" i="45"/>
  <c r="O100" i="45" s="1"/>
  <c r="B102" i="44"/>
  <c r="F102" i="44"/>
  <c r="H102" i="44" s="1"/>
  <c r="I18" i="44"/>
  <c r="J101" i="44"/>
  <c r="F19" i="44"/>
  <c r="H19" i="44"/>
  <c r="B19" i="44"/>
  <c r="L100" i="43"/>
  <c r="M100" i="43" s="1"/>
  <c r="N100" i="43"/>
  <c r="O100" i="43" s="1"/>
  <c r="J100" i="43"/>
  <c r="D102" i="43"/>
  <c r="G101" i="43"/>
  <c r="I101" i="43" s="1"/>
  <c r="I18" i="43"/>
  <c r="F19" i="43"/>
  <c r="H19" i="43" s="1"/>
  <c r="B19" i="43"/>
  <c r="J101" i="43" l="1"/>
  <c r="N101" i="43"/>
  <c r="O101" i="43" s="1"/>
  <c r="P101" i="43" s="1"/>
  <c r="J101" i="45"/>
  <c r="N89" i="45"/>
  <c r="N89" i="43"/>
  <c r="P100" i="45"/>
  <c r="I18" i="45"/>
  <c r="B19" i="45"/>
  <c r="E19" i="45"/>
  <c r="F19" i="45" s="1"/>
  <c r="H19" i="45" s="1"/>
  <c r="N6" i="45" s="1"/>
  <c r="B102" i="45"/>
  <c r="E102" i="45"/>
  <c r="D20" i="44"/>
  <c r="E20" i="44" s="1"/>
  <c r="G19" i="44"/>
  <c r="I19" i="44" s="1"/>
  <c r="G102" i="44"/>
  <c r="I102" i="44" s="1"/>
  <c r="D103" i="44"/>
  <c r="G19" i="43"/>
  <c r="P100" i="43"/>
  <c r="D20" i="43"/>
  <c r="E20" i="43"/>
  <c r="B102" i="43"/>
  <c r="E102" i="43"/>
  <c r="O89" i="45" l="1"/>
  <c r="O90" i="45" s="1"/>
  <c r="N90" i="45"/>
  <c r="O89" i="43"/>
  <c r="O90" i="43" s="1"/>
  <c r="N90" i="43"/>
  <c r="D20" i="45"/>
  <c r="E20" i="45"/>
  <c r="G19" i="45"/>
  <c r="N5" i="45" s="1"/>
  <c r="N7" i="45" s="1"/>
  <c r="F102" i="45"/>
  <c r="J102" i="44"/>
  <c r="F20" i="44"/>
  <c r="G20" i="44" s="1"/>
  <c r="B20" i="44"/>
  <c r="B103" i="44"/>
  <c r="E103" i="44"/>
  <c r="F103" i="44" s="1"/>
  <c r="B20" i="43"/>
  <c r="F20" i="43"/>
  <c r="H20" i="43" s="1"/>
  <c r="F102" i="43"/>
  <c r="I19" i="43"/>
  <c r="G20" i="43" l="1"/>
  <c r="G102" i="45"/>
  <c r="I102" i="45" s="1"/>
  <c r="D103" i="45"/>
  <c r="E103" i="45"/>
  <c r="H102" i="45"/>
  <c r="B20" i="45"/>
  <c r="F20" i="45"/>
  <c r="G20" i="45" s="1"/>
  <c r="I19" i="45"/>
  <c r="D104" i="44"/>
  <c r="G103" i="44"/>
  <c r="E104" i="44"/>
  <c r="D21" i="44"/>
  <c r="E21" i="44" s="1"/>
  <c r="H20" i="44"/>
  <c r="G102" i="43"/>
  <c r="I102" i="43" s="1"/>
  <c r="D103" i="43"/>
  <c r="E103" i="43" s="1"/>
  <c r="H102" i="43"/>
  <c r="I20" i="43"/>
  <c r="D21" i="43"/>
  <c r="H20" i="45" l="1"/>
  <c r="I20" i="45" s="1"/>
  <c r="F103" i="45"/>
  <c r="B103" i="45"/>
  <c r="D21" i="45"/>
  <c r="J102" i="45"/>
  <c r="B21" i="44"/>
  <c r="F21" i="44"/>
  <c r="I20" i="44"/>
  <c r="H103" i="44"/>
  <c r="I103" i="44"/>
  <c r="B104" i="44"/>
  <c r="F104" i="44"/>
  <c r="B21" i="43"/>
  <c r="F103" i="43"/>
  <c r="B103" i="43"/>
  <c r="E21" i="43"/>
  <c r="F21" i="43" s="1"/>
  <c r="J102" i="43"/>
  <c r="B21" i="45" l="1"/>
  <c r="E21" i="45"/>
  <c r="F21" i="45" s="1"/>
  <c r="G103" i="45"/>
  <c r="D104" i="45"/>
  <c r="J103" i="44"/>
  <c r="D22" i="44"/>
  <c r="E22" i="44" s="1"/>
  <c r="H21" i="44"/>
  <c r="D105" i="44"/>
  <c r="E105" i="44" s="1"/>
  <c r="G104" i="44"/>
  <c r="G21" i="44"/>
  <c r="D22" i="43"/>
  <c r="E22" i="43"/>
  <c r="G21" i="43"/>
  <c r="H21" i="43"/>
  <c r="D104" i="43"/>
  <c r="G103" i="43"/>
  <c r="H103" i="45" l="1"/>
  <c r="I103" i="45"/>
  <c r="B104" i="45"/>
  <c r="D22" i="45"/>
  <c r="E22" i="45"/>
  <c r="H21" i="45"/>
  <c r="E104" i="45"/>
  <c r="F104" i="45" s="1"/>
  <c r="G21" i="45"/>
  <c r="H104" i="44"/>
  <c r="I104" i="44"/>
  <c r="J104" i="44" s="1"/>
  <c r="F105" i="44"/>
  <c r="B105" i="44"/>
  <c r="I21" i="44"/>
  <c r="F22" i="44"/>
  <c r="B22" i="44"/>
  <c r="B104" i="43"/>
  <c r="I21" i="43"/>
  <c r="E104" i="43"/>
  <c r="F104" i="43" s="1"/>
  <c r="H103" i="43"/>
  <c r="I103" i="43"/>
  <c r="F22" i="43"/>
  <c r="G22" i="43" s="1"/>
  <c r="B22" i="43"/>
  <c r="G104" i="45" l="1"/>
  <c r="D105" i="45"/>
  <c r="E105" i="45" s="1"/>
  <c r="I21" i="45"/>
  <c r="B22" i="45"/>
  <c r="F22" i="45"/>
  <c r="H22" i="45" s="1"/>
  <c r="J103" i="45"/>
  <c r="D23" i="44"/>
  <c r="E23" i="44" s="1"/>
  <c r="D106" i="44"/>
  <c r="E106" i="44" s="1"/>
  <c r="G105" i="44"/>
  <c r="G22" i="44"/>
  <c r="H22" i="44"/>
  <c r="G104" i="43"/>
  <c r="D105" i="43"/>
  <c r="E105" i="43"/>
  <c r="J103" i="43"/>
  <c r="D23" i="43"/>
  <c r="E23" i="43"/>
  <c r="H22" i="43"/>
  <c r="I22" i="43" s="1"/>
  <c r="I22" i="44" l="1"/>
  <c r="D23" i="45"/>
  <c r="F105" i="45"/>
  <c r="B105" i="45"/>
  <c r="G22" i="45"/>
  <c r="I22" i="45" s="1"/>
  <c r="H104" i="45"/>
  <c r="I104" i="45"/>
  <c r="H105" i="44"/>
  <c r="I105" i="44"/>
  <c r="B106" i="44"/>
  <c r="F106" i="44"/>
  <c r="B23" i="44"/>
  <c r="F23" i="44"/>
  <c r="H23" i="44" s="1"/>
  <c r="B23" i="43"/>
  <c r="F23" i="43"/>
  <c r="G23" i="43" s="1"/>
  <c r="F105" i="43"/>
  <c r="B105" i="43"/>
  <c r="H104" i="43"/>
  <c r="I104" i="43"/>
  <c r="J105" i="44" l="1"/>
  <c r="G105" i="45"/>
  <c r="D106" i="45"/>
  <c r="E106" i="45" s="1"/>
  <c r="B23" i="45"/>
  <c r="J104" i="45"/>
  <c r="E23" i="45"/>
  <c r="F23" i="45" s="1"/>
  <c r="G23" i="44"/>
  <c r="I23" i="44" s="1"/>
  <c r="G106" i="44"/>
  <c r="D107" i="44"/>
  <c r="E107" i="44"/>
  <c r="D24" i="44"/>
  <c r="E24" i="44" s="1"/>
  <c r="D106" i="43"/>
  <c r="E106" i="43" s="1"/>
  <c r="G105" i="43"/>
  <c r="D24" i="43"/>
  <c r="E24" i="43"/>
  <c r="J104" i="43"/>
  <c r="H23" i="43"/>
  <c r="I23" i="43" s="1"/>
  <c r="D24" i="45" l="1"/>
  <c r="E24" i="45"/>
  <c r="G23" i="45"/>
  <c r="H23" i="45"/>
  <c r="B106" i="45"/>
  <c r="F106" i="45"/>
  <c r="H105" i="45"/>
  <c r="I105" i="45"/>
  <c r="F24" i="44"/>
  <c r="G24" i="44" s="1"/>
  <c r="B24" i="44"/>
  <c r="F107" i="44"/>
  <c r="B107" i="44"/>
  <c r="H106" i="44"/>
  <c r="I106" i="44"/>
  <c r="J106" i="44" s="1"/>
  <c r="F24" i="43"/>
  <c r="G24" i="43" s="1"/>
  <c r="B24" i="43"/>
  <c r="H105" i="43"/>
  <c r="I105" i="43"/>
  <c r="B106" i="43"/>
  <c r="F106" i="43"/>
  <c r="J105" i="45" l="1"/>
  <c r="J105" i="43"/>
  <c r="I23" i="45"/>
  <c r="H24" i="43"/>
  <c r="I24" i="43" s="1"/>
  <c r="G106" i="45"/>
  <c r="D107" i="45"/>
  <c r="E107" i="45"/>
  <c r="F24" i="45"/>
  <c r="H24" i="45" s="1"/>
  <c r="B24" i="45"/>
  <c r="D108" i="44"/>
  <c r="E108" i="44" s="1"/>
  <c r="G107" i="44"/>
  <c r="D25" i="44"/>
  <c r="H24" i="44"/>
  <c r="I24" i="44" s="1"/>
  <c r="G106" i="43"/>
  <c r="D107" i="43"/>
  <c r="E107" i="43"/>
  <c r="D25" i="43"/>
  <c r="E25" i="43" s="1"/>
  <c r="G24" i="45" l="1"/>
  <c r="I24" i="45" s="1"/>
  <c r="D25" i="45"/>
  <c r="E25" i="45"/>
  <c r="F107" i="45"/>
  <c r="B107" i="45"/>
  <c r="H106" i="45"/>
  <c r="I106" i="45"/>
  <c r="B25" i="44"/>
  <c r="E25" i="44"/>
  <c r="F25" i="44" s="1"/>
  <c r="H107" i="44"/>
  <c r="I107" i="44"/>
  <c r="J107" i="44" s="1"/>
  <c r="B108" i="44"/>
  <c r="F108" i="44"/>
  <c r="F107" i="43"/>
  <c r="B107" i="43"/>
  <c r="F25" i="43"/>
  <c r="G25" i="43" s="1"/>
  <c r="B25" i="43"/>
  <c r="H106" i="43"/>
  <c r="I106" i="43"/>
  <c r="J106" i="45" l="1"/>
  <c r="H25" i="43"/>
  <c r="I25" i="43" s="1"/>
  <c r="G107" i="45"/>
  <c r="D108" i="45"/>
  <c r="E108" i="45"/>
  <c r="B25" i="45"/>
  <c r="F25" i="45"/>
  <c r="D26" i="44"/>
  <c r="E26" i="44" s="1"/>
  <c r="G25" i="44"/>
  <c r="H25" i="44"/>
  <c r="G108" i="44"/>
  <c r="I108" i="44" s="1"/>
  <c r="D109" i="44"/>
  <c r="E109" i="44"/>
  <c r="H108" i="44"/>
  <c r="J106" i="43"/>
  <c r="D26" i="43"/>
  <c r="E26" i="43"/>
  <c r="D108" i="43"/>
  <c r="G107" i="43"/>
  <c r="E108" i="43"/>
  <c r="I25" i="44" l="1"/>
  <c r="D26" i="45"/>
  <c r="E26" i="45"/>
  <c r="H25" i="45"/>
  <c r="B108" i="45"/>
  <c r="F108" i="45"/>
  <c r="G25" i="45"/>
  <c r="H107" i="45"/>
  <c r="I107" i="45"/>
  <c r="J108" i="44"/>
  <c r="F109" i="44"/>
  <c r="H109" i="44" s="1"/>
  <c r="B109" i="44"/>
  <c r="B26" i="44"/>
  <c r="F26" i="44"/>
  <c r="G26" i="44" s="1"/>
  <c r="I107" i="43"/>
  <c r="H107" i="43"/>
  <c r="B108" i="43"/>
  <c r="F108" i="43"/>
  <c r="H108" i="43" s="1"/>
  <c r="F26" i="43"/>
  <c r="B26" i="43"/>
  <c r="G108" i="45" l="1"/>
  <c r="I108" i="45" s="1"/>
  <c r="D109" i="45"/>
  <c r="E109" i="45" s="1"/>
  <c r="H108" i="45"/>
  <c r="I25" i="45"/>
  <c r="J107" i="45"/>
  <c r="F26" i="45"/>
  <c r="H26" i="45" s="1"/>
  <c r="B26" i="45"/>
  <c r="D110" i="44"/>
  <c r="E110" i="44" s="1"/>
  <c r="G109" i="44"/>
  <c r="I109" i="44" s="1"/>
  <c r="J109" i="44" s="1"/>
  <c r="D27" i="44"/>
  <c r="E27" i="44" s="1"/>
  <c r="H26" i="44"/>
  <c r="I26" i="44" s="1"/>
  <c r="D27" i="43"/>
  <c r="E27" i="43"/>
  <c r="G108" i="43"/>
  <c r="I108" i="43" s="1"/>
  <c r="J108" i="43" s="1"/>
  <c r="D109" i="43"/>
  <c r="E109" i="43"/>
  <c r="G26" i="43"/>
  <c r="H26" i="43"/>
  <c r="J107" i="43"/>
  <c r="I26" i="43" l="1"/>
  <c r="G26" i="45"/>
  <c r="I26" i="45" s="1"/>
  <c r="F109" i="45"/>
  <c r="H109" i="45" s="1"/>
  <c r="B109" i="45"/>
  <c r="D27" i="45"/>
  <c r="E27" i="45"/>
  <c r="J108" i="45"/>
  <c r="F27" i="44"/>
  <c r="G27" i="44" s="1"/>
  <c r="B27" i="44"/>
  <c r="B110" i="44"/>
  <c r="F110" i="44"/>
  <c r="H110" i="44" s="1"/>
  <c r="F109" i="43"/>
  <c r="B109" i="43"/>
  <c r="F27" i="43"/>
  <c r="B27" i="43"/>
  <c r="B27" i="45" l="1"/>
  <c r="F27" i="45"/>
  <c r="H27" i="45" s="1"/>
  <c r="G109" i="45"/>
  <c r="I109" i="45" s="1"/>
  <c r="J109" i="45" s="1"/>
  <c r="D110" i="45"/>
  <c r="E110" i="45" s="1"/>
  <c r="D111" i="44"/>
  <c r="E111" i="44" s="1"/>
  <c r="G110" i="44"/>
  <c r="I110" i="44" s="1"/>
  <c r="J110" i="44" s="1"/>
  <c r="D28" i="44"/>
  <c r="E28" i="44" s="1"/>
  <c r="H27" i="44"/>
  <c r="I27" i="44" s="1"/>
  <c r="D28" i="43"/>
  <c r="E28" i="43"/>
  <c r="D110" i="43"/>
  <c r="E110" i="43" s="1"/>
  <c r="G109" i="43"/>
  <c r="I109" i="43" s="1"/>
  <c r="G27" i="43"/>
  <c r="H27" i="43"/>
  <c r="H109" i="43"/>
  <c r="B110" i="45" l="1"/>
  <c r="F110" i="45"/>
  <c r="D28" i="45"/>
  <c r="E28" i="45" s="1"/>
  <c r="G27" i="45"/>
  <c r="I27" i="45" s="1"/>
  <c r="B28" i="44"/>
  <c r="F28" i="44"/>
  <c r="H28" i="44"/>
  <c r="G28" i="44"/>
  <c r="F111" i="44"/>
  <c r="H111" i="44" s="1"/>
  <c r="B111" i="44"/>
  <c r="J109" i="43"/>
  <c r="I27" i="43"/>
  <c r="B110" i="43"/>
  <c r="F110" i="43"/>
  <c r="B28" i="43"/>
  <c r="F28" i="43"/>
  <c r="G110" i="45" l="1"/>
  <c r="I110" i="45" s="1"/>
  <c r="D111" i="45"/>
  <c r="H110" i="45"/>
  <c r="B28" i="45"/>
  <c r="F28" i="45"/>
  <c r="I28" i="44"/>
  <c r="D29" i="44"/>
  <c r="D112" i="44"/>
  <c r="E112" i="44" s="1"/>
  <c r="G111" i="44"/>
  <c r="I111" i="44" s="1"/>
  <c r="J111" i="44" s="1"/>
  <c r="D29" i="43"/>
  <c r="G110" i="43"/>
  <c r="I110" i="43" s="1"/>
  <c r="D111" i="43"/>
  <c r="E111" i="43"/>
  <c r="H110" i="43"/>
  <c r="H28" i="43"/>
  <c r="G28" i="43"/>
  <c r="D29" i="45" l="1"/>
  <c r="E29" i="45"/>
  <c r="B111" i="45"/>
  <c r="G28" i="45"/>
  <c r="H28" i="45"/>
  <c r="E111" i="45"/>
  <c r="F111" i="45" s="1"/>
  <c r="J110" i="45"/>
  <c r="B29" i="44"/>
  <c r="B112" i="44"/>
  <c r="F112" i="44"/>
  <c r="E29" i="44"/>
  <c r="F29" i="44" s="1"/>
  <c r="I28" i="43"/>
  <c r="F111" i="43"/>
  <c r="B111" i="43"/>
  <c r="J110" i="43"/>
  <c r="B29" i="43"/>
  <c r="E29" i="43"/>
  <c r="F29" i="43" s="1"/>
  <c r="I28" i="45" l="1"/>
  <c r="G111" i="45"/>
  <c r="I111" i="45" s="1"/>
  <c r="D112" i="45"/>
  <c r="E112" i="45" s="1"/>
  <c r="H111" i="45"/>
  <c r="F29" i="45"/>
  <c r="B29" i="45"/>
  <c r="D30" i="44"/>
  <c r="E30" i="44" s="1"/>
  <c r="G29" i="44"/>
  <c r="H29" i="44"/>
  <c r="G112" i="44"/>
  <c r="I112" i="44" s="1"/>
  <c r="D113" i="44"/>
  <c r="E113" i="44"/>
  <c r="H112" i="44"/>
  <c r="D30" i="43"/>
  <c r="E30" i="43"/>
  <c r="G29" i="43"/>
  <c r="D112" i="43"/>
  <c r="G111" i="43"/>
  <c r="I111" i="43" s="1"/>
  <c r="E112" i="43"/>
  <c r="H111" i="43"/>
  <c r="H29" i="43"/>
  <c r="I29" i="44" l="1"/>
  <c r="J111" i="43"/>
  <c r="I29" i="43"/>
  <c r="D30" i="45"/>
  <c r="E30" i="45" s="1"/>
  <c r="B112" i="45"/>
  <c r="F112" i="45"/>
  <c r="H112" i="45" s="1"/>
  <c r="H29" i="45"/>
  <c r="G29" i="45"/>
  <c r="J111" i="45"/>
  <c r="J112" i="44"/>
  <c r="F113" i="44"/>
  <c r="B113" i="44"/>
  <c r="F30" i="44"/>
  <c r="B30" i="44"/>
  <c r="B112" i="43"/>
  <c r="F112" i="43"/>
  <c r="H112" i="43" s="1"/>
  <c r="F30" i="43"/>
  <c r="B30" i="43"/>
  <c r="I29" i="45" l="1"/>
  <c r="D113" i="45"/>
  <c r="G112" i="45"/>
  <c r="I112" i="45" s="1"/>
  <c r="J112" i="45" s="1"/>
  <c r="E113" i="45"/>
  <c r="B30" i="45"/>
  <c r="F30" i="45"/>
  <c r="G30" i="45" s="1"/>
  <c r="D31" i="44"/>
  <c r="E31" i="44" s="1"/>
  <c r="H30" i="44"/>
  <c r="G30" i="44"/>
  <c r="D114" i="44"/>
  <c r="E114" i="44" s="1"/>
  <c r="G113" i="44"/>
  <c r="I113" i="44" s="1"/>
  <c r="H113" i="44"/>
  <c r="D31" i="43"/>
  <c r="E31" i="43"/>
  <c r="G30" i="43"/>
  <c r="G112" i="43"/>
  <c r="I112" i="43" s="1"/>
  <c r="J112" i="43" s="1"/>
  <c r="D113" i="43"/>
  <c r="H30" i="43"/>
  <c r="I30" i="43" l="1"/>
  <c r="J113" i="44"/>
  <c r="D31" i="45"/>
  <c r="H30" i="45"/>
  <c r="I30" i="45" s="1"/>
  <c r="F113" i="45"/>
  <c r="B113" i="45"/>
  <c r="H113" i="45"/>
  <c r="B114" i="44"/>
  <c r="F114" i="44"/>
  <c r="H114" i="44" s="1"/>
  <c r="I30" i="44"/>
  <c r="F31" i="44"/>
  <c r="H31" i="44" s="1"/>
  <c r="B31" i="44"/>
  <c r="B113" i="43"/>
  <c r="E113" i="43"/>
  <c r="F113" i="43" s="1"/>
  <c r="F31" i="43"/>
  <c r="B31" i="43"/>
  <c r="G31" i="44" l="1"/>
  <c r="I31" i="44" s="1"/>
  <c r="D114" i="45"/>
  <c r="G113" i="45"/>
  <c r="I113" i="45" s="1"/>
  <c r="J113" i="45" s="1"/>
  <c r="E114" i="45"/>
  <c r="B31" i="45"/>
  <c r="E31" i="45"/>
  <c r="F31" i="45" s="1"/>
  <c r="G114" i="44"/>
  <c r="I114" i="44" s="1"/>
  <c r="J114" i="44" s="1"/>
  <c r="D115" i="44"/>
  <c r="E115" i="44" s="1"/>
  <c r="D32" i="44"/>
  <c r="D114" i="43"/>
  <c r="G113" i="43"/>
  <c r="I113" i="43" s="1"/>
  <c r="E114" i="43"/>
  <c r="H113" i="43"/>
  <c r="D32" i="43"/>
  <c r="E32" i="43"/>
  <c r="H31" i="43"/>
  <c r="I31" i="43" s="1"/>
  <c r="G31" i="43"/>
  <c r="D32" i="45" l="1"/>
  <c r="E32" i="45"/>
  <c r="H31" i="45"/>
  <c r="G31" i="45"/>
  <c r="B114" i="45"/>
  <c r="F114" i="45"/>
  <c r="B32" i="44"/>
  <c r="F115" i="44"/>
  <c r="B115" i="44"/>
  <c r="E32" i="44"/>
  <c r="F32" i="44" s="1"/>
  <c r="F32" i="43"/>
  <c r="B32" i="43"/>
  <c r="H32" i="43"/>
  <c r="G32" i="43"/>
  <c r="J113" i="43"/>
  <c r="B114" i="43"/>
  <c r="F114" i="43"/>
  <c r="H114" i="43" s="1"/>
  <c r="I31" i="45" l="1"/>
  <c r="D115" i="45"/>
  <c r="E115" i="45" s="1"/>
  <c r="G114" i="45"/>
  <c r="I114" i="45" s="1"/>
  <c r="H114" i="45"/>
  <c r="F32" i="45"/>
  <c r="G32" i="45" s="1"/>
  <c r="B32" i="45"/>
  <c r="D33" i="44"/>
  <c r="E33" i="44" s="1"/>
  <c r="H32" i="44"/>
  <c r="G32" i="44"/>
  <c r="D116" i="44"/>
  <c r="G115" i="44"/>
  <c r="I115" i="44" s="1"/>
  <c r="E116" i="44"/>
  <c r="H115" i="44"/>
  <c r="G114" i="43"/>
  <c r="I114" i="43" s="1"/>
  <c r="J114" i="43" s="1"/>
  <c r="D115" i="43"/>
  <c r="E115" i="43" s="1"/>
  <c r="I32" i="43"/>
  <c r="D33" i="43"/>
  <c r="E33" i="43" s="1"/>
  <c r="H32" i="45" l="1"/>
  <c r="I32" i="45" s="1"/>
  <c r="J115" i="44"/>
  <c r="D33" i="45"/>
  <c r="E33" i="45"/>
  <c r="J114" i="45"/>
  <c r="F115" i="45"/>
  <c r="H115" i="45" s="1"/>
  <c r="B115" i="45"/>
  <c r="B116" i="44"/>
  <c r="F116" i="44"/>
  <c r="I32" i="44"/>
  <c r="F33" i="44"/>
  <c r="B33" i="44"/>
  <c r="H33" i="44"/>
  <c r="G33" i="44"/>
  <c r="F115" i="43"/>
  <c r="H115" i="43" s="1"/>
  <c r="B115" i="43"/>
  <c r="F33" i="43"/>
  <c r="G33" i="43" s="1"/>
  <c r="B33" i="43"/>
  <c r="H33" i="43" l="1"/>
  <c r="I33" i="43" s="1"/>
  <c r="D116" i="45"/>
  <c r="G115" i="45"/>
  <c r="I115" i="45" s="1"/>
  <c r="J115" i="45" s="1"/>
  <c r="E116" i="45"/>
  <c r="B33" i="45"/>
  <c r="F33" i="45"/>
  <c r="G33" i="45" s="1"/>
  <c r="D34" i="44"/>
  <c r="E34" i="44" s="1"/>
  <c r="G116" i="44"/>
  <c r="I116" i="44" s="1"/>
  <c r="D117" i="44"/>
  <c r="E117" i="44" s="1"/>
  <c r="I33" i="44"/>
  <c r="H116" i="44"/>
  <c r="D116" i="43"/>
  <c r="E116" i="43" s="1"/>
  <c r="G115" i="43"/>
  <c r="I115" i="43" s="1"/>
  <c r="J115" i="43" s="1"/>
  <c r="D34" i="43"/>
  <c r="D34" i="45" l="1"/>
  <c r="E34" i="45"/>
  <c r="H33" i="45"/>
  <c r="I33" i="45" s="1"/>
  <c r="B116" i="45"/>
  <c r="F116" i="45"/>
  <c r="H116" i="45" s="1"/>
  <c r="F117" i="44"/>
  <c r="B117" i="44"/>
  <c r="J116" i="44"/>
  <c r="B34" i="44"/>
  <c r="F34" i="44"/>
  <c r="B34" i="43"/>
  <c r="E34" i="43"/>
  <c r="F34" i="43" s="1"/>
  <c r="B116" i="43"/>
  <c r="F116" i="43"/>
  <c r="H116" i="43" s="1"/>
  <c r="D117" i="45" l="1"/>
  <c r="G116" i="45"/>
  <c r="I116" i="45" s="1"/>
  <c r="J116" i="45" s="1"/>
  <c r="E117" i="45"/>
  <c r="F34" i="45"/>
  <c r="H34" i="45" s="1"/>
  <c r="B34" i="45"/>
  <c r="D35" i="44"/>
  <c r="E35" i="44" s="1"/>
  <c r="G34" i="44"/>
  <c r="H34" i="44"/>
  <c r="D118" i="44"/>
  <c r="G117" i="44"/>
  <c r="I117" i="44" s="1"/>
  <c r="H117" i="44"/>
  <c r="D35" i="43"/>
  <c r="E35" i="43"/>
  <c r="H34" i="43"/>
  <c r="G34" i="43"/>
  <c r="G116" i="43"/>
  <c r="I116" i="43" s="1"/>
  <c r="J116" i="43" s="1"/>
  <c r="D117" i="43"/>
  <c r="E117" i="43"/>
  <c r="I34" i="44" l="1"/>
  <c r="G34" i="45"/>
  <c r="I34" i="45" s="1"/>
  <c r="D35" i="45"/>
  <c r="E35" i="45"/>
  <c r="F117" i="45"/>
  <c r="H117" i="45" s="1"/>
  <c r="B117" i="45"/>
  <c r="J117" i="44"/>
  <c r="B118" i="44"/>
  <c r="E118" i="44"/>
  <c r="F118" i="44" s="1"/>
  <c r="B35" i="44"/>
  <c r="F35" i="44"/>
  <c r="H35" i="44" s="1"/>
  <c r="F117" i="43"/>
  <c r="B117" i="43"/>
  <c r="I34" i="43"/>
  <c r="F35" i="43"/>
  <c r="G35" i="43" s="1"/>
  <c r="B35" i="43"/>
  <c r="G35" i="44" l="1"/>
  <c r="F35" i="45"/>
  <c r="B35" i="45"/>
  <c r="G117" i="45"/>
  <c r="I117" i="45" s="1"/>
  <c r="J117" i="45" s="1"/>
  <c r="D118" i="45"/>
  <c r="E118" i="45" s="1"/>
  <c r="G118" i="44"/>
  <c r="I118" i="44" s="1"/>
  <c r="D119" i="44"/>
  <c r="E119" i="44" s="1"/>
  <c r="H118" i="44"/>
  <c r="I35" i="44"/>
  <c r="D36" i="44"/>
  <c r="E36" i="44" s="1"/>
  <c r="D36" i="43"/>
  <c r="E36" i="43" s="1"/>
  <c r="H35" i="43"/>
  <c r="I35" i="43" s="1"/>
  <c r="D118" i="43"/>
  <c r="G117" i="43"/>
  <c r="I117" i="43" s="1"/>
  <c r="E118" i="43"/>
  <c r="H117" i="43"/>
  <c r="D36" i="45" l="1"/>
  <c r="E36" i="45"/>
  <c r="G35" i="45"/>
  <c r="B118" i="45"/>
  <c r="F118" i="45"/>
  <c r="H35" i="45"/>
  <c r="B36" i="44"/>
  <c r="F36" i="44"/>
  <c r="G36" i="44" s="1"/>
  <c r="F119" i="44"/>
  <c r="H119" i="44" s="1"/>
  <c r="B119" i="44"/>
  <c r="J118" i="44"/>
  <c r="B118" i="43"/>
  <c r="F118" i="43"/>
  <c r="H118" i="43" s="1"/>
  <c r="J117" i="43"/>
  <c r="B36" i="43"/>
  <c r="F36" i="43"/>
  <c r="G36" i="43" s="1"/>
  <c r="I35" i="45" l="1"/>
  <c r="H36" i="43"/>
  <c r="I36" i="43" s="1"/>
  <c r="G118" i="45"/>
  <c r="I118" i="45" s="1"/>
  <c r="D119" i="45"/>
  <c r="E119" i="45"/>
  <c r="H118" i="45"/>
  <c r="B36" i="45"/>
  <c r="F36" i="45"/>
  <c r="G36" i="45" s="1"/>
  <c r="D120" i="44"/>
  <c r="E120" i="44" s="1"/>
  <c r="G119" i="44"/>
  <c r="I119" i="44" s="1"/>
  <c r="J119" i="44" s="1"/>
  <c r="D37" i="44"/>
  <c r="H36" i="44"/>
  <c r="I36" i="44" s="1"/>
  <c r="D37" i="43"/>
  <c r="G118" i="43"/>
  <c r="I118" i="43" s="1"/>
  <c r="J118" i="43" s="1"/>
  <c r="D119" i="43"/>
  <c r="E119" i="43" s="1"/>
  <c r="D37" i="45" l="1"/>
  <c r="E37" i="45" s="1"/>
  <c r="H36" i="45"/>
  <c r="I36" i="45" s="1"/>
  <c r="F119" i="45"/>
  <c r="B119" i="45"/>
  <c r="J118" i="45"/>
  <c r="B37" i="44"/>
  <c r="E37" i="44"/>
  <c r="F37" i="44" s="1"/>
  <c r="B120" i="44"/>
  <c r="F120" i="44"/>
  <c r="H120" i="44" s="1"/>
  <c r="B37" i="43"/>
  <c r="F119" i="43"/>
  <c r="B119" i="43"/>
  <c r="E37" i="43"/>
  <c r="F37" i="43" s="1"/>
  <c r="D120" i="45" l="1"/>
  <c r="E120" i="45" s="1"/>
  <c r="G119" i="45"/>
  <c r="I119" i="45" s="1"/>
  <c r="H119" i="45"/>
  <c r="F37" i="45"/>
  <c r="H37" i="45" s="1"/>
  <c r="B37" i="45"/>
  <c r="D38" i="44"/>
  <c r="E38" i="44" s="1"/>
  <c r="G37" i="44"/>
  <c r="H37" i="44"/>
  <c r="I37" i="44" s="1"/>
  <c r="D121" i="44"/>
  <c r="G120" i="44"/>
  <c r="I120" i="44" s="1"/>
  <c r="J120" i="44" s="1"/>
  <c r="D38" i="43"/>
  <c r="E38" i="43"/>
  <c r="G37" i="43"/>
  <c r="H37" i="43"/>
  <c r="D120" i="43"/>
  <c r="E120" i="43" s="1"/>
  <c r="G119" i="43"/>
  <c r="I119" i="43" s="1"/>
  <c r="H119" i="43"/>
  <c r="I37" i="43" l="1"/>
  <c r="D38" i="45"/>
  <c r="E38" i="45"/>
  <c r="G37" i="45"/>
  <c r="I37" i="45" s="1"/>
  <c r="J119" i="45"/>
  <c r="B120" i="45"/>
  <c r="F120" i="45"/>
  <c r="B121" i="44"/>
  <c r="E121" i="44"/>
  <c r="F121" i="44" s="1"/>
  <c r="F38" i="44"/>
  <c r="H38" i="44" s="1"/>
  <c r="B38" i="44"/>
  <c r="B120" i="43"/>
  <c r="F120" i="43"/>
  <c r="H120" i="43"/>
  <c r="J119" i="43"/>
  <c r="F38" i="43"/>
  <c r="B38" i="43"/>
  <c r="G120" i="45" l="1"/>
  <c r="I120" i="45" s="1"/>
  <c r="D121" i="45"/>
  <c r="E121" i="45" s="1"/>
  <c r="H120" i="45"/>
  <c r="F38" i="45"/>
  <c r="B38" i="45"/>
  <c r="H38" i="45"/>
  <c r="D122" i="44"/>
  <c r="E122" i="44" s="1"/>
  <c r="G121" i="44"/>
  <c r="I121" i="44" s="1"/>
  <c r="H121" i="44"/>
  <c r="D39" i="44"/>
  <c r="E39" i="44" s="1"/>
  <c r="G38" i="44"/>
  <c r="I38" i="44" s="1"/>
  <c r="D39" i="43"/>
  <c r="E39" i="43" s="1"/>
  <c r="G38" i="43"/>
  <c r="G120" i="43"/>
  <c r="I120" i="43" s="1"/>
  <c r="J120" i="43" s="1"/>
  <c r="D121" i="43"/>
  <c r="H38" i="43"/>
  <c r="J121" i="44" l="1"/>
  <c r="I38" i="43"/>
  <c r="D39" i="45"/>
  <c r="E39" i="45" s="1"/>
  <c r="G38" i="45"/>
  <c r="I38" i="45" s="1"/>
  <c r="F121" i="45"/>
  <c r="H121" i="45" s="1"/>
  <c r="B121" i="45"/>
  <c r="J120" i="45"/>
  <c r="F39" i="44"/>
  <c r="B39" i="44"/>
  <c r="B122" i="44"/>
  <c r="F122" i="44"/>
  <c r="H122" i="44" s="1"/>
  <c r="B121" i="43"/>
  <c r="E121" i="43"/>
  <c r="F121" i="43" s="1"/>
  <c r="B39" i="43"/>
  <c r="F39" i="43"/>
  <c r="H39" i="43" s="1"/>
  <c r="F39" i="45" l="1"/>
  <c r="G39" i="45" s="1"/>
  <c r="B39" i="45"/>
  <c r="D122" i="45"/>
  <c r="G121" i="45"/>
  <c r="I121" i="45" s="1"/>
  <c r="J121" i="45" s="1"/>
  <c r="E122" i="45"/>
  <c r="G122" i="44"/>
  <c r="I122" i="44" s="1"/>
  <c r="J122" i="44" s="1"/>
  <c r="D123" i="44"/>
  <c r="E123" i="44" s="1"/>
  <c r="D40" i="44"/>
  <c r="E40" i="44" s="1"/>
  <c r="G39" i="44"/>
  <c r="H39" i="44"/>
  <c r="D122" i="43"/>
  <c r="E122" i="43" s="1"/>
  <c r="G121" i="43"/>
  <c r="I121" i="43" s="1"/>
  <c r="H121" i="43"/>
  <c r="G39" i="43"/>
  <c r="I39" i="43" s="1"/>
  <c r="D40" i="43"/>
  <c r="E40" i="43"/>
  <c r="I39" i="44" l="1"/>
  <c r="B122" i="45"/>
  <c r="F122" i="45"/>
  <c r="D40" i="45"/>
  <c r="E40" i="45"/>
  <c r="H39" i="45"/>
  <c r="I39" i="45" s="1"/>
  <c r="F123" i="44"/>
  <c r="B123" i="44"/>
  <c r="F40" i="44"/>
  <c r="G40" i="44" s="1"/>
  <c r="B40" i="44"/>
  <c r="J121" i="43"/>
  <c r="B122" i="43"/>
  <c r="F122" i="43"/>
  <c r="H122" i="43" s="1"/>
  <c r="F40" i="43"/>
  <c r="H40" i="43" s="1"/>
  <c r="B40" i="43"/>
  <c r="G40" i="43"/>
  <c r="I40" i="43" l="1"/>
  <c r="F40" i="45"/>
  <c r="H40" i="45"/>
  <c r="G40" i="45"/>
  <c r="B40" i="45"/>
  <c r="G122" i="45"/>
  <c r="I122" i="45" s="1"/>
  <c r="D123" i="45"/>
  <c r="E123" i="45" s="1"/>
  <c r="H122" i="45"/>
  <c r="D41" i="44"/>
  <c r="E41" i="44" s="1"/>
  <c r="H40" i="44"/>
  <c r="I40" i="44" s="1"/>
  <c r="D124" i="44"/>
  <c r="E124" i="44" s="1"/>
  <c r="G123" i="44"/>
  <c r="I123" i="44" s="1"/>
  <c r="H123" i="44"/>
  <c r="D41" i="43"/>
  <c r="G122" i="43"/>
  <c r="I122" i="43" s="1"/>
  <c r="J122" i="43" s="1"/>
  <c r="D123" i="43"/>
  <c r="J123" i="44" l="1"/>
  <c r="J122" i="45"/>
  <c r="I40" i="45"/>
  <c r="F123" i="45"/>
  <c r="B123" i="45"/>
  <c r="D41" i="45"/>
  <c r="E41" i="45" s="1"/>
  <c r="B124" i="44"/>
  <c r="F124" i="44"/>
  <c r="F41" i="44"/>
  <c r="H41" i="44" s="1"/>
  <c r="B41" i="44"/>
  <c r="B123" i="43"/>
  <c r="B41" i="43"/>
  <c r="E123" i="43"/>
  <c r="F123" i="43" s="1"/>
  <c r="E41" i="43"/>
  <c r="F41" i="43" s="1"/>
  <c r="H41" i="43" l="1"/>
  <c r="G41" i="43"/>
  <c r="D124" i="45"/>
  <c r="E124" i="45" s="1"/>
  <c r="G123" i="45"/>
  <c r="I123" i="45" s="1"/>
  <c r="H123" i="45"/>
  <c r="B41" i="45"/>
  <c r="F41" i="45"/>
  <c r="G41" i="45" s="1"/>
  <c r="D42" i="44"/>
  <c r="E42" i="44" s="1"/>
  <c r="G41" i="44"/>
  <c r="I41" i="44" s="1"/>
  <c r="G124" i="44"/>
  <c r="I124" i="44" s="1"/>
  <c r="D125" i="44"/>
  <c r="E125" i="44" s="1"/>
  <c r="H124" i="44"/>
  <c r="D124" i="43"/>
  <c r="E124" i="43" s="1"/>
  <c r="G123" i="43"/>
  <c r="I123" i="43" s="1"/>
  <c r="H123" i="43"/>
  <c r="D42" i="43"/>
  <c r="E42" i="43" s="1"/>
  <c r="J123" i="45" l="1"/>
  <c r="I41" i="43"/>
  <c r="D42" i="45"/>
  <c r="E42" i="45"/>
  <c r="H41" i="45"/>
  <c r="I41" i="45" s="1"/>
  <c r="B124" i="45"/>
  <c r="F124" i="45"/>
  <c r="H124" i="45" s="1"/>
  <c r="J124" i="44"/>
  <c r="F125" i="44"/>
  <c r="H125" i="44" s="1"/>
  <c r="B125" i="44"/>
  <c r="B42" i="44"/>
  <c r="F42" i="44"/>
  <c r="G42" i="44" s="1"/>
  <c r="F42" i="43"/>
  <c r="B42" i="43"/>
  <c r="J123" i="43"/>
  <c r="B124" i="43"/>
  <c r="F124" i="43"/>
  <c r="H124" i="43" s="1"/>
  <c r="G124" i="45" l="1"/>
  <c r="I124" i="45" s="1"/>
  <c r="J124" i="45" s="1"/>
  <c r="D125" i="45"/>
  <c r="E125" i="45" s="1"/>
  <c r="F42" i="45"/>
  <c r="B42" i="45"/>
  <c r="D43" i="44"/>
  <c r="E43" i="44" s="1"/>
  <c r="H42" i="44"/>
  <c r="I42" i="44" s="1"/>
  <c r="D126" i="44"/>
  <c r="G125" i="44"/>
  <c r="I125" i="44" s="1"/>
  <c r="J125" i="44" s="1"/>
  <c r="G124" i="43"/>
  <c r="I124" i="43" s="1"/>
  <c r="J124" i="43" s="1"/>
  <c r="D125" i="43"/>
  <c r="E125" i="43" s="1"/>
  <c r="D43" i="43"/>
  <c r="E43" i="43"/>
  <c r="G42" i="43"/>
  <c r="H42" i="43"/>
  <c r="I42" i="43" l="1"/>
  <c r="D43" i="45"/>
  <c r="E43" i="45"/>
  <c r="G42" i="45"/>
  <c r="H42" i="45"/>
  <c r="F125" i="45"/>
  <c r="B125" i="45"/>
  <c r="B126" i="44"/>
  <c r="E126" i="44"/>
  <c r="F126" i="44" s="1"/>
  <c r="F43" i="44"/>
  <c r="B43" i="44"/>
  <c r="F43" i="43"/>
  <c r="B43" i="43"/>
  <c r="F125" i="43"/>
  <c r="B125" i="43"/>
  <c r="I42" i="45" l="1"/>
  <c r="D126" i="45"/>
  <c r="E126" i="45" s="1"/>
  <c r="G125" i="45"/>
  <c r="I125" i="45" s="1"/>
  <c r="H125" i="45"/>
  <c r="B43" i="45"/>
  <c r="F43" i="45"/>
  <c r="H43" i="45" s="1"/>
  <c r="D127" i="44"/>
  <c r="E127" i="44" s="1"/>
  <c r="G126" i="44"/>
  <c r="I126" i="44" s="1"/>
  <c r="H126" i="44"/>
  <c r="D44" i="44"/>
  <c r="G43" i="44"/>
  <c r="H43" i="44"/>
  <c r="D126" i="43"/>
  <c r="E126" i="43" s="1"/>
  <c r="G125" i="43"/>
  <c r="I125" i="43" s="1"/>
  <c r="H125" i="43"/>
  <c r="D44" i="43"/>
  <c r="E44" i="43"/>
  <c r="G43" i="43"/>
  <c r="H43" i="43"/>
  <c r="I43" i="43" l="1"/>
  <c r="G43" i="45"/>
  <c r="I43" i="45" s="1"/>
  <c r="J125" i="43"/>
  <c r="I43" i="44"/>
  <c r="J125" i="45"/>
  <c r="D44" i="45"/>
  <c r="E44" i="45" s="1"/>
  <c r="B126" i="45"/>
  <c r="F126" i="45"/>
  <c r="B44" i="44"/>
  <c r="J126" i="44"/>
  <c r="E44" i="44"/>
  <c r="F44" i="44" s="1"/>
  <c r="F127" i="44"/>
  <c r="B127" i="44"/>
  <c r="B44" i="43"/>
  <c r="F44" i="43"/>
  <c r="H44" i="43" s="1"/>
  <c r="B126" i="43"/>
  <c r="F126" i="43"/>
  <c r="H126" i="43" s="1"/>
  <c r="G44" i="43" l="1"/>
  <c r="I44" i="43" s="1"/>
  <c r="G126" i="45"/>
  <c r="I126" i="45" s="1"/>
  <c r="D127" i="45"/>
  <c r="E127" i="45" s="1"/>
  <c r="H126" i="45"/>
  <c r="B44" i="45"/>
  <c r="F44" i="45"/>
  <c r="G44" i="45" s="1"/>
  <c r="D128" i="44"/>
  <c r="E128" i="44" s="1"/>
  <c r="G127" i="44"/>
  <c r="I127" i="44" s="1"/>
  <c r="H127" i="44"/>
  <c r="D45" i="44"/>
  <c r="G44" i="44"/>
  <c r="H44" i="44"/>
  <c r="G126" i="43"/>
  <c r="I126" i="43" s="1"/>
  <c r="J126" i="43" s="1"/>
  <c r="D127" i="43"/>
  <c r="E127" i="43" s="1"/>
  <c r="D45" i="43"/>
  <c r="D45" i="45" l="1"/>
  <c r="E45" i="45"/>
  <c r="H44" i="45"/>
  <c r="I44" i="45" s="1"/>
  <c r="F127" i="45"/>
  <c r="H127" i="45" s="1"/>
  <c r="B127" i="45"/>
  <c r="J126" i="45"/>
  <c r="B45" i="44"/>
  <c r="I44" i="44"/>
  <c r="E45" i="44"/>
  <c r="F45" i="44" s="1"/>
  <c r="J127" i="44"/>
  <c r="B128" i="44"/>
  <c r="F128" i="44"/>
  <c r="H128" i="44" s="1"/>
  <c r="B45" i="43"/>
  <c r="E45" i="43"/>
  <c r="F45" i="43" s="1"/>
  <c r="F127" i="43"/>
  <c r="B127" i="43"/>
  <c r="D128" i="45" l="1"/>
  <c r="E128" i="45" s="1"/>
  <c r="G127" i="45"/>
  <c r="I127" i="45" s="1"/>
  <c r="J127" i="45" s="1"/>
  <c r="F45" i="45"/>
  <c r="B45" i="45"/>
  <c r="H45" i="45"/>
  <c r="D46" i="44"/>
  <c r="E46" i="44" s="1"/>
  <c r="G45" i="44"/>
  <c r="H45" i="44"/>
  <c r="G128" i="44"/>
  <c r="I128" i="44" s="1"/>
  <c r="J128" i="44" s="1"/>
  <c r="D129" i="44"/>
  <c r="D46" i="43"/>
  <c r="E46" i="43"/>
  <c r="G45" i="43"/>
  <c r="H45" i="43"/>
  <c r="D128" i="43"/>
  <c r="E128" i="43" s="1"/>
  <c r="G127" i="43"/>
  <c r="I127" i="43" s="1"/>
  <c r="H127" i="43"/>
  <c r="I45" i="44" l="1"/>
  <c r="I45" i="43"/>
  <c r="D46" i="45"/>
  <c r="E46" i="45"/>
  <c r="G45" i="45"/>
  <c r="I45" i="45" s="1"/>
  <c r="B128" i="45"/>
  <c r="F128" i="45"/>
  <c r="B129" i="44"/>
  <c r="E129" i="44"/>
  <c r="F129" i="44" s="1"/>
  <c r="F46" i="44"/>
  <c r="H46" i="44" s="1"/>
  <c r="B46" i="44"/>
  <c r="B128" i="43"/>
  <c r="F128" i="43"/>
  <c r="H128" i="43" s="1"/>
  <c r="J127" i="43"/>
  <c r="F46" i="43"/>
  <c r="B46" i="43"/>
  <c r="D129" i="45" l="1"/>
  <c r="E129" i="45" s="1"/>
  <c r="G128" i="45"/>
  <c r="I128" i="45" s="1"/>
  <c r="H128" i="45"/>
  <c r="B46" i="45"/>
  <c r="F46" i="45"/>
  <c r="H46" i="45" s="1"/>
  <c r="D130" i="44"/>
  <c r="E130" i="44" s="1"/>
  <c r="G129" i="44"/>
  <c r="I129" i="44" s="1"/>
  <c r="H129" i="44"/>
  <c r="D47" i="44"/>
  <c r="G46" i="44"/>
  <c r="I46" i="44" s="1"/>
  <c r="D47" i="43"/>
  <c r="E47" i="43"/>
  <c r="G46" i="43"/>
  <c r="G128" i="43"/>
  <c r="I128" i="43" s="1"/>
  <c r="J128" i="43" s="1"/>
  <c r="D129" i="43"/>
  <c r="E129" i="43" s="1"/>
  <c r="H46" i="43"/>
  <c r="I46" i="43" l="1"/>
  <c r="G46" i="45"/>
  <c r="I46" i="45" s="1"/>
  <c r="D47" i="45"/>
  <c r="E47" i="45" s="1"/>
  <c r="J128" i="45"/>
  <c r="F129" i="45"/>
  <c r="H129" i="45" s="1"/>
  <c r="B129" i="45"/>
  <c r="B47" i="44"/>
  <c r="E47" i="44"/>
  <c r="F47" i="44" s="1"/>
  <c r="J129" i="44"/>
  <c r="B130" i="44"/>
  <c r="F130" i="44"/>
  <c r="F129" i="43"/>
  <c r="B129" i="43"/>
  <c r="F47" i="43"/>
  <c r="H47" i="43" s="1"/>
  <c r="B47" i="43"/>
  <c r="G47" i="43" l="1"/>
  <c r="I47" i="43" s="1"/>
  <c r="D130" i="45"/>
  <c r="E130" i="45" s="1"/>
  <c r="G129" i="45"/>
  <c r="I129" i="45" s="1"/>
  <c r="J129" i="45" s="1"/>
  <c r="F47" i="45"/>
  <c r="G47" i="45" s="1"/>
  <c r="B47" i="45"/>
  <c r="D48" i="44"/>
  <c r="E48" i="44" s="1"/>
  <c r="H47" i="44"/>
  <c r="G47" i="44"/>
  <c r="G130" i="44"/>
  <c r="I130" i="44" s="1"/>
  <c r="D131" i="44"/>
  <c r="E131" i="44" s="1"/>
  <c r="H130" i="44"/>
  <c r="D48" i="43"/>
  <c r="E48" i="43"/>
  <c r="D130" i="43"/>
  <c r="G129" i="43"/>
  <c r="I129" i="43" s="1"/>
  <c r="H129" i="43"/>
  <c r="I47" i="44" l="1"/>
  <c r="D48" i="45"/>
  <c r="E48" i="45"/>
  <c r="H47" i="45"/>
  <c r="I47" i="45" s="1"/>
  <c r="B130" i="45"/>
  <c r="F130" i="45"/>
  <c r="J130" i="44"/>
  <c r="F131" i="44"/>
  <c r="H131" i="44" s="1"/>
  <c r="B131" i="44"/>
  <c r="F48" i="44"/>
  <c r="G48" i="44" s="1"/>
  <c r="B48" i="44"/>
  <c r="B130" i="43"/>
  <c r="E130" i="43"/>
  <c r="F130" i="43" s="1"/>
  <c r="J129" i="43"/>
  <c r="F48" i="43"/>
  <c r="H48" i="43" s="1"/>
  <c r="B48" i="43"/>
  <c r="G130" i="45" l="1"/>
  <c r="I130" i="45" s="1"/>
  <c r="D131" i="45"/>
  <c r="H130" i="45"/>
  <c r="F48" i="45"/>
  <c r="H48" i="45" s="1"/>
  <c r="B48" i="45"/>
  <c r="D49" i="44"/>
  <c r="E49" i="44" s="1"/>
  <c r="H48" i="44"/>
  <c r="I48" i="44" s="1"/>
  <c r="D132" i="44"/>
  <c r="E132" i="44" s="1"/>
  <c r="G131" i="44"/>
  <c r="I131" i="44" s="1"/>
  <c r="J131" i="44" s="1"/>
  <c r="J156" i="44" s="1"/>
  <c r="G130" i="43"/>
  <c r="I130" i="43" s="1"/>
  <c r="D131" i="43"/>
  <c r="E131" i="43" s="1"/>
  <c r="H130" i="43"/>
  <c r="D49" i="43"/>
  <c r="G48" i="43"/>
  <c r="I48" i="43" s="1"/>
  <c r="G48" i="45" l="1"/>
  <c r="I48" i="45" s="1"/>
  <c r="B131" i="45"/>
  <c r="D49" i="45"/>
  <c r="E49" i="45"/>
  <c r="E131" i="45"/>
  <c r="F131" i="45" s="1"/>
  <c r="J130" i="45"/>
  <c r="B132" i="44"/>
  <c r="F132" i="44"/>
  <c r="F49" i="44"/>
  <c r="H49" i="44" s="1"/>
  <c r="B49" i="44"/>
  <c r="B49" i="43"/>
  <c r="F131" i="43"/>
  <c r="H131" i="43" s="1"/>
  <c r="B131" i="43"/>
  <c r="E49" i="43"/>
  <c r="F49" i="43" s="1"/>
  <c r="J130" i="43"/>
  <c r="G49" i="44" l="1"/>
  <c r="I49" i="44" s="1"/>
  <c r="D132" i="45"/>
  <c r="E132" i="45" s="1"/>
  <c r="G131" i="45"/>
  <c r="I131" i="45" s="1"/>
  <c r="H131" i="45"/>
  <c r="B49" i="45"/>
  <c r="F49" i="45"/>
  <c r="G49" i="45" s="1"/>
  <c r="G132" i="44"/>
  <c r="I132" i="44" s="1"/>
  <c r="D133" i="44"/>
  <c r="H132" i="44"/>
  <c r="D50" i="44"/>
  <c r="D50" i="43"/>
  <c r="E50" i="43" s="1"/>
  <c r="G49" i="43"/>
  <c r="H49" i="43"/>
  <c r="D132" i="43"/>
  <c r="E132" i="43" s="1"/>
  <c r="G131" i="43"/>
  <c r="I131" i="43" s="1"/>
  <c r="J131" i="43" s="1"/>
  <c r="J156" i="43" s="1"/>
  <c r="I49" i="43" l="1"/>
  <c r="D50" i="45"/>
  <c r="E50" i="45" s="1"/>
  <c r="H49" i="45"/>
  <c r="I49" i="45" s="1"/>
  <c r="J131" i="45"/>
  <c r="J156" i="45" s="1"/>
  <c r="B132" i="45"/>
  <c r="F132" i="45"/>
  <c r="H132" i="45" s="1"/>
  <c r="B50" i="44"/>
  <c r="B133" i="44"/>
  <c r="E50" i="44"/>
  <c r="F50" i="44" s="1"/>
  <c r="E133" i="44"/>
  <c r="F133" i="44" s="1"/>
  <c r="B132" i="43"/>
  <c r="F132" i="43"/>
  <c r="H132" i="43" s="1"/>
  <c r="B50" i="43"/>
  <c r="F50" i="43"/>
  <c r="D133" i="45" l="1"/>
  <c r="G132" i="45"/>
  <c r="I132" i="45" s="1"/>
  <c r="E133" i="45"/>
  <c r="F50" i="45"/>
  <c r="H50" i="45" s="1"/>
  <c r="B50" i="45"/>
  <c r="D51" i="44"/>
  <c r="E51" i="44" s="1"/>
  <c r="H50" i="44"/>
  <c r="G50" i="44"/>
  <c r="D134" i="44"/>
  <c r="E134" i="44" s="1"/>
  <c r="G133" i="44"/>
  <c r="I133" i="44" s="1"/>
  <c r="H133" i="44"/>
  <c r="D51" i="43"/>
  <c r="E51" i="43" s="1"/>
  <c r="G50" i="43"/>
  <c r="H50" i="43"/>
  <c r="D133" i="43"/>
  <c r="G132" i="43"/>
  <c r="I132" i="43" s="1"/>
  <c r="D51" i="45" l="1"/>
  <c r="G50" i="45"/>
  <c r="I50" i="45" s="1"/>
  <c r="F133" i="45"/>
  <c r="B133" i="45"/>
  <c r="B134" i="44"/>
  <c r="F134" i="44"/>
  <c r="H134" i="44"/>
  <c r="I50" i="44"/>
  <c r="F51" i="44"/>
  <c r="G51" i="44" s="1"/>
  <c r="B51" i="44"/>
  <c r="B133" i="43"/>
  <c r="E133" i="43"/>
  <c r="F133" i="43" s="1"/>
  <c r="I50" i="43"/>
  <c r="F51" i="43"/>
  <c r="H51" i="43" s="1"/>
  <c r="B51" i="43"/>
  <c r="D134" i="45" l="1"/>
  <c r="E134" i="45" s="1"/>
  <c r="G133" i="45"/>
  <c r="I133" i="45" s="1"/>
  <c r="B51" i="45"/>
  <c r="H133" i="45"/>
  <c r="E51" i="45"/>
  <c r="F51" i="45" s="1"/>
  <c r="H51" i="45" s="1"/>
  <c r="D52" i="44"/>
  <c r="E52" i="44" s="1"/>
  <c r="H51" i="44"/>
  <c r="I51" i="44" s="1"/>
  <c r="D135" i="44"/>
  <c r="G134" i="44"/>
  <c r="I134" i="44" s="1"/>
  <c r="D134" i="43"/>
  <c r="E134" i="43" s="1"/>
  <c r="G133" i="43"/>
  <c r="I133" i="43" s="1"/>
  <c r="H133" i="43"/>
  <c r="D52" i="43"/>
  <c r="G51" i="43"/>
  <c r="I51" i="43" s="1"/>
  <c r="G51" i="45" l="1"/>
  <c r="I51" i="45" s="1"/>
  <c r="D52" i="45"/>
  <c r="E52" i="45" s="1"/>
  <c r="B134" i="45"/>
  <c r="F134" i="45"/>
  <c r="B135" i="44"/>
  <c r="E135" i="44"/>
  <c r="F135" i="44" s="1"/>
  <c r="B52" i="44"/>
  <c r="F52" i="44"/>
  <c r="G52" i="44" s="1"/>
  <c r="B52" i="43"/>
  <c r="E52" i="43"/>
  <c r="F52" i="43" s="1"/>
  <c r="B134" i="43"/>
  <c r="F134" i="43"/>
  <c r="D135" i="45" l="1"/>
  <c r="E135" i="45" s="1"/>
  <c r="G134" i="45"/>
  <c r="I134" i="45" s="1"/>
  <c r="H134" i="45"/>
  <c r="B52" i="45"/>
  <c r="F52" i="45"/>
  <c r="G52" i="45" s="1"/>
  <c r="D136" i="44"/>
  <c r="E136" i="44" s="1"/>
  <c r="G135" i="44"/>
  <c r="I135" i="44" s="1"/>
  <c r="H135" i="44"/>
  <c r="D53" i="44"/>
  <c r="H52" i="44"/>
  <c r="I52" i="44" s="1"/>
  <c r="D53" i="43"/>
  <c r="E53" i="43" s="1"/>
  <c r="G52" i="43"/>
  <c r="H52" i="43"/>
  <c r="G134" i="43"/>
  <c r="I134" i="43" s="1"/>
  <c r="D135" i="43"/>
  <c r="E135" i="43" s="1"/>
  <c r="H134" i="43"/>
  <c r="I52" i="43" l="1"/>
  <c r="D53" i="45"/>
  <c r="E53" i="45" s="1"/>
  <c r="H52" i="45"/>
  <c r="I52" i="45" s="1"/>
  <c r="F135" i="45"/>
  <c r="B135" i="45"/>
  <c r="B53" i="44"/>
  <c r="E53" i="44"/>
  <c r="F53" i="44" s="1"/>
  <c r="B136" i="44"/>
  <c r="F136" i="44"/>
  <c r="F135" i="43"/>
  <c r="B135" i="43"/>
  <c r="B53" i="43"/>
  <c r="F53" i="43"/>
  <c r="H53" i="43" s="1"/>
  <c r="D136" i="45" l="1"/>
  <c r="E136" i="45" s="1"/>
  <c r="G135" i="45"/>
  <c r="I135" i="45" s="1"/>
  <c r="H135" i="45"/>
  <c r="F53" i="45"/>
  <c r="G53" i="45" s="1"/>
  <c r="B53" i="45"/>
  <c r="D54" i="44"/>
  <c r="E54" i="44" s="1"/>
  <c r="G53" i="44"/>
  <c r="H53" i="44"/>
  <c r="D137" i="44"/>
  <c r="G136" i="44"/>
  <c r="I136" i="44" s="1"/>
  <c r="E137" i="44"/>
  <c r="H136" i="44"/>
  <c r="D54" i="43"/>
  <c r="E54" i="43" s="1"/>
  <c r="D136" i="43"/>
  <c r="E136" i="43" s="1"/>
  <c r="G135" i="43"/>
  <c r="I135" i="43" s="1"/>
  <c r="G53" i="43"/>
  <c r="I53" i="43" s="1"/>
  <c r="H135" i="43"/>
  <c r="I53" i="44" l="1"/>
  <c r="H53" i="45"/>
  <c r="I53" i="45" s="1"/>
  <c r="D54" i="45"/>
  <c r="E54" i="45" s="1"/>
  <c r="B136" i="45"/>
  <c r="F136" i="45"/>
  <c r="F137" i="44"/>
  <c r="B137" i="44"/>
  <c r="F54" i="44"/>
  <c r="H54" i="44" s="1"/>
  <c r="B54" i="44"/>
  <c r="B136" i="43"/>
  <c r="F136" i="43"/>
  <c r="H136" i="43" s="1"/>
  <c r="B54" i="43"/>
  <c r="F54" i="43"/>
  <c r="D137" i="45" l="1"/>
  <c r="E137" i="45" s="1"/>
  <c r="G136" i="45"/>
  <c r="I136" i="45" s="1"/>
  <c r="H136" i="45"/>
  <c r="B54" i="45"/>
  <c r="F54" i="45"/>
  <c r="H54" i="45" s="1"/>
  <c r="D55" i="44"/>
  <c r="E55" i="44" s="1"/>
  <c r="G54" i="44"/>
  <c r="I54" i="44" s="1"/>
  <c r="D138" i="44"/>
  <c r="E138" i="44" s="1"/>
  <c r="G137" i="44"/>
  <c r="I137" i="44" s="1"/>
  <c r="H137" i="44"/>
  <c r="D55" i="43"/>
  <c r="E55" i="43" s="1"/>
  <c r="G54" i="43"/>
  <c r="D137" i="43"/>
  <c r="E137" i="43" s="1"/>
  <c r="G136" i="43"/>
  <c r="I136" i="43" s="1"/>
  <c r="H54" i="43"/>
  <c r="G54" i="45" l="1"/>
  <c r="I54" i="45" s="1"/>
  <c r="I54" i="43"/>
  <c r="D55" i="45"/>
  <c r="F137" i="45"/>
  <c r="B137" i="45"/>
  <c r="B138" i="44"/>
  <c r="F138" i="44"/>
  <c r="B55" i="44"/>
  <c r="F55" i="44"/>
  <c r="F137" i="43"/>
  <c r="H137" i="43" s="1"/>
  <c r="B137" i="43"/>
  <c r="B55" i="43"/>
  <c r="F55" i="43"/>
  <c r="H55" i="43" s="1"/>
  <c r="G55" i="43" l="1"/>
  <c r="I55" i="43" s="1"/>
  <c r="D138" i="45"/>
  <c r="E138" i="45" s="1"/>
  <c r="G137" i="45"/>
  <c r="I137" i="45" s="1"/>
  <c r="H137" i="45"/>
  <c r="B55" i="45"/>
  <c r="E55" i="45"/>
  <c r="F55" i="45" s="1"/>
  <c r="D56" i="44"/>
  <c r="E56" i="44" s="1"/>
  <c r="G55" i="44"/>
  <c r="H55" i="44"/>
  <c r="D139" i="44"/>
  <c r="G138" i="44"/>
  <c r="I138" i="44" s="1"/>
  <c r="E139" i="44"/>
  <c r="H138" i="44"/>
  <c r="D56" i="43"/>
  <c r="E56" i="43" s="1"/>
  <c r="D138" i="43"/>
  <c r="E138" i="43" s="1"/>
  <c r="G137" i="43"/>
  <c r="I137" i="43" s="1"/>
  <c r="I55" i="44" l="1"/>
  <c r="D56" i="45"/>
  <c r="E56" i="45" s="1"/>
  <c r="G55" i="45"/>
  <c r="H55" i="45"/>
  <c r="B138" i="45"/>
  <c r="F138" i="45"/>
  <c r="F139" i="44"/>
  <c r="B139" i="44"/>
  <c r="F56" i="44"/>
  <c r="G56" i="44" s="1"/>
  <c r="B56" i="44"/>
  <c r="B138" i="43"/>
  <c r="F138" i="43"/>
  <c r="H138" i="43" s="1"/>
  <c r="F56" i="43"/>
  <c r="G56" i="43" s="1"/>
  <c r="B56" i="43"/>
  <c r="I55" i="45" l="1"/>
  <c r="H56" i="43"/>
  <c r="I56" i="43" s="1"/>
  <c r="D139" i="45"/>
  <c r="E139" i="45" s="1"/>
  <c r="G138" i="45"/>
  <c r="I138" i="45" s="1"/>
  <c r="H138" i="45"/>
  <c r="F56" i="45"/>
  <c r="H56" i="45" s="1"/>
  <c r="B56" i="45"/>
  <c r="D57" i="44"/>
  <c r="E57" i="44" s="1"/>
  <c r="H56" i="44"/>
  <c r="I56" i="44" s="1"/>
  <c r="D140" i="44"/>
  <c r="G139" i="44"/>
  <c r="I139" i="44" s="1"/>
  <c r="H139" i="44"/>
  <c r="D57" i="43"/>
  <c r="G138" i="43"/>
  <c r="I138" i="43" s="1"/>
  <c r="D139" i="43"/>
  <c r="E139" i="43" s="1"/>
  <c r="G56" i="45" l="1"/>
  <c r="I56" i="45" s="1"/>
  <c r="D57" i="45"/>
  <c r="E57" i="45" s="1"/>
  <c r="F139" i="45"/>
  <c r="B139" i="45"/>
  <c r="B140" i="44"/>
  <c r="E140" i="44"/>
  <c r="F140" i="44" s="1"/>
  <c r="F57" i="44"/>
  <c r="G57" i="44" s="1"/>
  <c r="B57" i="44"/>
  <c r="F139" i="43"/>
  <c r="B139" i="43"/>
  <c r="B57" i="43"/>
  <c r="E57" i="43"/>
  <c r="F57" i="43" s="1"/>
  <c r="H57" i="44" l="1"/>
  <c r="D140" i="45"/>
  <c r="E140" i="45" s="1"/>
  <c r="G139" i="45"/>
  <c r="I139" i="45" s="1"/>
  <c r="H139" i="45"/>
  <c r="B57" i="45"/>
  <c r="F57" i="45"/>
  <c r="D141" i="44"/>
  <c r="E141" i="44" s="1"/>
  <c r="G140" i="44"/>
  <c r="I140" i="44" s="1"/>
  <c r="H140" i="44"/>
  <c r="D58" i="44"/>
  <c r="E58" i="44" s="1"/>
  <c r="I57" i="44"/>
  <c r="D58" i="43"/>
  <c r="E58" i="43" s="1"/>
  <c r="G57" i="43"/>
  <c r="H57" i="43"/>
  <c r="D140" i="43"/>
  <c r="E140" i="43" s="1"/>
  <c r="G139" i="43"/>
  <c r="I139" i="43" s="1"/>
  <c r="H139" i="43"/>
  <c r="I57" i="43" l="1"/>
  <c r="D58" i="45"/>
  <c r="E58" i="45" s="1"/>
  <c r="H57" i="45"/>
  <c r="G57" i="45"/>
  <c r="B140" i="45"/>
  <c r="F140" i="45"/>
  <c r="B58" i="44"/>
  <c r="F58" i="44"/>
  <c r="F141" i="44"/>
  <c r="H141" i="44" s="1"/>
  <c r="B141" i="44"/>
  <c r="B140" i="43"/>
  <c r="F140" i="43"/>
  <c r="F58" i="43"/>
  <c r="G58" i="43" s="1"/>
  <c r="B58" i="43"/>
  <c r="D141" i="45" l="1"/>
  <c r="E141" i="45" s="1"/>
  <c r="G140" i="45"/>
  <c r="I140" i="45" s="1"/>
  <c r="H140" i="45"/>
  <c r="I57" i="45"/>
  <c r="F58" i="45"/>
  <c r="G58" i="45" s="1"/>
  <c r="B58" i="45"/>
  <c r="D59" i="44"/>
  <c r="E59" i="44" s="1"/>
  <c r="G58" i="44"/>
  <c r="D142" i="44"/>
  <c r="E142" i="44" s="1"/>
  <c r="G141" i="44"/>
  <c r="I141" i="44" s="1"/>
  <c r="H58" i="44"/>
  <c r="D141" i="43"/>
  <c r="E141" i="43" s="1"/>
  <c r="G140" i="43"/>
  <c r="I140" i="43" s="1"/>
  <c r="D59" i="43"/>
  <c r="E59" i="43" s="1"/>
  <c r="H58" i="43"/>
  <c r="I58" i="43" s="1"/>
  <c r="H140" i="43"/>
  <c r="I58" i="44" l="1"/>
  <c r="D59" i="45"/>
  <c r="E59" i="45" s="1"/>
  <c r="H58" i="45"/>
  <c r="I58" i="45" s="1"/>
  <c r="F141" i="45"/>
  <c r="B141" i="45"/>
  <c r="B142" i="44"/>
  <c r="F142" i="44"/>
  <c r="H142" i="44" s="1"/>
  <c r="F59" i="44"/>
  <c r="B59" i="44"/>
  <c r="B59" i="43"/>
  <c r="F59" i="43"/>
  <c r="F141" i="43"/>
  <c r="B141" i="43"/>
  <c r="D142" i="45" l="1"/>
  <c r="E142" i="45" s="1"/>
  <c r="G141" i="45"/>
  <c r="I141" i="45" s="1"/>
  <c r="H141" i="45"/>
  <c r="B59" i="45"/>
  <c r="F59" i="45"/>
  <c r="H59" i="45"/>
  <c r="G59" i="45"/>
  <c r="D60" i="44"/>
  <c r="E60" i="44" s="1"/>
  <c r="G59" i="44"/>
  <c r="H59" i="44"/>
  <c r="G142" i="44"/>
  <c r="I142" i="44" s="1"/>
  <c r="D143" i="44"/>
  <c r="D142" i="43"/>
  <c r="E142" i="43" s="1"/>
  <c r="G141" i="43"/>
  <c r="I141" i="43" s="1"/>
  <c r="D60" i="43"/>
  <c r="E60" i="43" s="1"/>
  <c r="G59" i="43"/>
  <c r="H141" i="43"/>
  <c r="H59" i="43"/>
  <c r="I59" i="43" l="1"/>
  <c r="I59" i="44"/>
  <c r="I59" i="45"/>
  <c r="D60" i="45"/>
  <c r="B142" i="45"/>
  <c r="F142" i="45"/>
  <c r="B143" i="44"/>
  <c r="E143" i="44"/>
  <c r="F143" i="44" s="1"/>
  <c r="B60" i="44"/>
  <c r="F60" i="44"/>
  <c r="B60" i="43"/>
  <c r="F60" i="43"/>
  <c r="H60" i="43" s="1"/>
  <c r="G60" i="43"/>
  <c r="B142" i="43"/>
  <c r="F142" i="43"/>
  <c r="H142" i="43" s="1"/>
  <c r="I60" i="43" l="1"/>
  <c r="B60" i="45"/>
  <c r="D143" i="45"/>
  <c r="E143" i="45" s="1"/>
  <c r="G142" i="45"/>
  <c r="I142" i="45" s="1"/>
  <c r="H142" i="45"/>
  <c r="E60" i="45"/>
  <c r="F60" i="45" s="1"/>
  <c r="D144" i="44"/>
  <c r="E144" i="44" s="1"/>
  <c r="G143" i="44"/>
  <c r="I143" i="44" s="1"/>
  <c r="H143" i="44"/>
  <c r="D61" i="44"/>
  <c r="H60" i="44"/>
  <c r="G60" i="44"/>
  <c r="D61" i="43"/>
  <c r="G142" i="43"/>
  <c r="I142" i="43" s="1"/>
  <c r="D143" i="43"/>
  <c r="I60" i="44" l="1"/>
  <c r="D61" i="45"/>
  <c r="E61" i="45" s="1"/>
  <c r="H60" i="45"/>
  <c r="G60" i="45"/>
  <c r="F143" i="45"/>
  <c r="H143" i="45" s="1"/>
  <c r="B143" i="45"/>
  <c r="B61" i="44"/>
  <c r="E61" i="44"/>
  <c r="F61" i="44" s="1"/>
  <c r="B144" i="44"/>
  <c r="F144" i="44"/>
  <c r="B143" i="43"/>
  <c r="E143" i="43"/>
  <c r="F143" i="43" s="1"/>
  <c r="B61" i="43"/>
  <c r="E61" i="43"/>
  <c r="F61" i="43" s="1"/>
  <c r="G61" i="43" l="1"/>
  <c r="H61" i="43"/>
  <c r="D144" i="45"/>
  <c r="E144" i="45" s="1"/>
  <c r="G143" i="45"/>
  <c r="I143" i="45" s="1"/>
  <c r="I60" i="45"/>
  <c r="F61" i="45"/>
  <c r="B61" i="45"/>
  <c r="D62" i="44"/>
  <c r="E62" i="44" s="1"/>
  <c r="G61" i="44"/>
  <c r="H61" i="44"/>
  <c r="I61" i="44" s="1"/>
  <c r="D145" i="44"/>
  <c r="G144" i="44"/>
  <c r="I144" i="44" s="1"/>
  <c r="E145" i="44"/>
  <c r="H144" i="44"/>
  <c r="D144" i="43"/>
  <c r="E144" i="43" s="1"/>
  <c r="G143" i="43"/>
  <c r="I143" i="43" s="1"/>
  <c r="H143" i="43"/>
  <c r="D62" i="43"/>
  <c r="I61" i="43" l="1"/>
  <c r="D62" i="45"/>
  <c r="E62" i="45" s="1"/>
  <c r="G61" i="45"/>
  <c r="H61" i="45"/>
  <c r="B144" i="45"/>
  <c r="F144" i="45"/>
  <c r="H144" i="45" s="1"/>
  <c r="F145" i="44"/>
  <c r="B145" i="44"/>
  <c r="F62" i="44"/>
  <c r="H62" i="44" s="1"/>
  <c r="B62" i="44"/>
  <c r="B62" i="43"/>
  <c r="E62" i="43"/>
  <c r="F62" i="43" s="1"/>
  <c r="B144" i="43"/>
  <c r="F144" i="43"/>
  <c r="H144" i="43" s="1"/>
  <c r="I61" i="45" l="1"/>
  <c r="D145" i="45"/>
  <c r="E145" i="45" s="1"/>
  <c r="G144" i="45"/>
  <c r="I144" i="45" s="1"/>
  <c r="B62" i="45"/>
  <c r="F62" i="45"/>
  <c r="D63" i="44"/>
  <c r="E63" i="44" s="1"/>
  <c r="G62" i="44"/>
  <c r="I62" i="44" s="1"/>
  <c r="D146" i="44"/>
  <c r="E146" i="44" s="1"/>
  <c r="G145" i="44"/>
  <c r="I145" i="44" s="1"/>
  <c r="H145" i="44"/>
  <c r="D63" i="43"/>
  <c r="E63" i="43" s="1"/>
  <c r="G62" i="43"/>
  <c r="H62" i="43"/>
  <c r="D145" i="43"/>
  <c r="E145" i="43" s="1"/>
  <c r="G144" i="43"/>
  <c r="I144" i="43" s="1"/>
  <c r="I62" i="43" l="1"/>
  <c r="D63" i="45"/>
  <c r="E63" i="45" s="1"/>
  <c r="G62" i="45"/>
  <c r="H62" i="45"/>
  <c r="F145" i="45"/>
  <c r="B145" i="45"/>
  <c r="B146" i="44"/>
  <c r="F146" i="44"/>
  <c r="H146" i="44" s="1"/>
  <c r="F63" i="44"/>
  <c r="H63" i="44" s="1"/>
  <c r="B63" i="44"/>
  <c r="F145" i="43"/>
  <c r="B145" i="43"/>
  <c r="F63" i="43"/>
  <c r="B63" i="43"/>
  <c r="G63" i="44" l="1"/>
  <c r="I63" i="44" s="1"/>
  <c r="D146" i="45"/>
  <c r="E146" i="45" s="1"/>
  <c r="G145" i="45"/>
  <c r="I145" i="45" s="1"/>
  <c r="H145" i="45"/>
  <c r="I62" i="45"/>
  <c r="F63" i="45"/>
  <c r="B63" i="45"/>
  <c r="D64" i="44"/>
  <c r="E64" i="44" s="1"/>
  <c r="D147" i="44"/>
  <c r="E147" i="44" s="1"/>
  <c r="G146" i="44"/>
  <c r="I146" i="44" s="1"/>
  <c r="D64" i="43"/>
  <c r="E64" i="43" s="1"/>
  <c r="G63" i="43"/>
  <c r="H63" i="43"/>
  <c r="D146" i="43"/>
  <c r="E146" i="43" s="1"/>
  <c r="G145" i="43"/>
  <c r="I145" i="43" s="1"/>
  <c r="H145" i="43"/>
  <c r="I63" i="43" l="1"/>
  <c r="D64" i="45"/>
  <c r="E64" i="45" s="1"/>
  <c r="H63" i="45"/>
  <c r="G63" i="45"/>
  <c r="B146" i="45"/>
  <c r="F146" i="45"/>
  <c r="F147" i="44"/>
  <c r="B147" i="44"/>
  <c r="F64" i="44"/>
  <c r="B64" i="44"/>
  <c r="B146" i="43"/>
  <c r="F146" i="43"/>
  <c r="H146" i="43" s="1"/>
  <c r="F64" i="43"/>
  <c r="G64" i="43" s="1"/>
  <c r="B64" i="43"/>
  <c r="D147" i="45" l="1"/>
  <c r="E147" i="45" s="1"/>
  <c r="G146" i="45"/>
  <c r="I146" i="45" s="1"/>
  <c r="H146" i="45"/>
  <c r="I63" i="45"/>
  <c r="F64" i="45"/>
  <c r="H64" i="45" s="1"/>
  <c r="B64" i="45"/>
  <c r="D65" i="44"/>
  <c r="E65" i="44" s="1"/>
  <c r="G64" i="44"/>
  <c r="H64" i="44"/>
  <c r="D148" i="44"/>
  <c r="G147" i="44"/>
  <c r="I147" i="44" s="1"/>
  <c r="H147" i="44"/>
  <c r="D65" i="43"/>
  <c r="E65" i="43" s="1"/>
  <c r="G146" i="43"/>
  <c r="I146" i="43" s="1"/>
  <c r="D147" i="43"/>
  <c r="H64" i="43"/>
  <c r="I64" i="43" s="1"/>
  <c r="I64" i="44" l="1"/>
  <c r="D65" i="45"/>
  <c r="E65" i="45" s="1"/>
  <c r="G64" i="45"/>
  <c r="I64" i="45" s="1"/>
  <c r="F147" i="45"/>
  <c r="B147" i="45"/>
  <c r="B148" i="44"/>
  <c r="E148" i="44"/>
  <c r="F148" i="44" s="1"/>
  <c r="B65" i="44"/>
  <c r="F65" i="44"/>
  <c r="H65" i="44" s="1"/>
  <c r="B147" i="43"/>
  <c r="E147" i="43"/>
  <c r="F147" i="43" s="1"/>
  <c r="B65" i="43"/>
  <c r="F65" i="43"/>
  <c r="D148" i="45" l="1"/>
  <c r="E148" i="45" s="1"/>
  <c r="G147" i="45"/>
  <c r="I147" i="45" s="1"/>
  <c r="B65" i="45"/>
  <c r="F65" i="45"/>
  <c r="G65" i="45" s="1"/>
  <c r="H147" i="45"/>
  <c r="D149" i="44"/>
  <c r="E149" i="44" s="1"/>
  <c r="G148" i="44"/>
  <c r="I148" i="44" s="1"/>
  <c r="H148" i="44"/>
  <c r="D66" i="44"/>
  <c r="E66" i="44" s="1"/>
  <c r="G65" i="44"/>
  <c r="I65" i="44" s="1"/>
  <c r="D148" i="43"/>
  <c r="G147" i="43"/>
  <c r="I147" i="43" s="1"/>
  <c r="E148" i="43"/>
  <c r="H147" i="43"/>
  <c r="D66" i="43"/>
  <c r="E66" i="43" s="1"/>
  <c r="H65" i="43"/>
  <c r="G65" i="43"/>
  <c r="D66" i="45" l="1"/>
  <c r="E66" i="45" s="1"/>
  <c r="H65" i="45"/>
  <c r="I65" i="45" s="1"/>
  <c r="B148" i="45"/>
  <c r="F148" i="45"/>
  <c r="B66" i="44"/>
  <c r="F66" i="44"/>
  <c r="H66" i="44" s="1"/>
  <c r="F149" i="44"/>
  <c r="H149" i="44" s="1"/>
  <c r="B149" i="44"/>
  <c r="I65" i="43"/>
  <c r="B66" i="43"/>
  <c r="F66" i="43"/>
  <c r="H66" i="43" s="1"/>
  <c r="B148" i="43"/>
  <c r="F148" i="43"/>
  <c r="H148" i="43" s="1"/>
  <c r="G66" i="44" l="1"/>
  <c r="I66" i="44" s="1"/>
  <c r="G66" i="43"/>
  <c r="D149" i="45"/>
  <c r="E149" i="45" s="1"/>
  <c r="G148" i="45"/>
  <c r="I148" i="45" s="1"/>
  <c r="H148" i="45"/>
  <c r="B66" i="45"/>
  <c r="F66" i="45"/>
  <c r="H66" i="45" s="1"/>
  <c r="D67" i="44"/>
  <c r="E67" i="44" s="1"/>
  <c r="D150" i="44"/>
  <c r="G149" i="44"/>
  <c r="I149" i="44" s="1"/>
  <c r="I66" i="43"/>
  <c r="D67" i="43"/>
  <c r="D149" i="43"/>
  <c r="E149" i="43" s="1"/>
  <c r="G148" i="43"/>
  <c r="I148" i="43" s="1"/>
  <c r="G66" i="45" l="1"/>
  <c r="I66" i="45" s="1"/>
  <c r="D67" i="45"/>
  <c r="E67" i="45" s="1"/>
  <c r="F149" i="45"/>
  <c r="B149" i="45"/>
  <c r="B150" i="44"/>
  <c r="E150" i="44"/>
  <c r="F150" i="44" s="1"/>
  <c r="F67" i="44"/>
  <c r="H67" i="44" s="1"/>
  <c r="B67" i="44"/>
  <c r="F149" i="43"/>
  <c r="B149" i="43"/>
  <c r="B67" i="43"/>
  <c r="E67" i="43"/>
  <c r="F67" i="43" s="1"/>
  <c r="D150" i="45" l="1"/>
  <c r="E150" i="45" s="1"/>
  <c r="G149" i="45"/>
  <c r="I149" i="45" s="1"/>
  <c r="H149" i="45"/>
  <c r="F67" i="45"/>
  <c r="H67" i="45" s="1"/>
  <c r="B67" i="45"/>
  <c r="G150" i="44"/>
  <c r="I150" i="44" s="1"/>
  <c r="D151" i="44"/>
  <c r="E151" i="44" s="1"/>
  <c r="H150" i="44"/>
  <c r="D68" i="44"/>
  <c r="G67" i="44"/>
  <c r="I67" i="44" s="1"/>
  <c r="D68" i="43"/>
  <c r="E68" i="43" s="1"/>
  <c r="G67" i="43"/>
  <c r="H67" i="43"/>
  <c r="I67" i="43" s="1"/>
  <c r="D150" i="43"/>
  <c r="E150" i="43" s="1"/>
  <c r="G149" i="43"/>
  <c r="I149" i="43" s="1"/>
  <c r="H149" i="43"/>
  <c r="D68" i="45" l="1"/>
  <c r="E68" i="45" s="1"/>
  <c r="G67" i="45"/>
  <c r="I67" i="45" s="1"/>
  <c r="B150" i="45"/>
  <c r="F150" i="45"/>
  <c r="B68" i="44"/>
  <c r="E68" i="44"/>
  <c r="F68" i="44" s="1"/>
  <c r="F151" i="44"/>
  <c r="B151" i="44"/>
  <c r="B150" i="43"/>
  <c r="F150" i="43"/>
  <c r="H150" i="43" s="1"/>
  <c r="B68" i="43"/>
  <c r="F68" i="43"/>
  <c r="H68" i="43" s="1"/>
  <c r="D151" i="45" l="1"/>
  <c r="E151" i="45" s="1"/>
  <c r="G150" i="45"/>
  <c r="I150" i="45" s="1"/>
  <c r="H150" i="45"/>
  <c r="F68" i="45"/>
  <c r="G68" i="45" s="1"/>
  <c r="B68" i="45"/>
  <c r="D69" i="44"/>
  <c r="E69" i="44" s="1"/>
  <c r="H68" i="44"/>
  <c r="I68" i="44" s="1"/>
  <c r="G68" i="44"/>
  <c r="D152" i="44"/>
  <c r="E152" i="44" s="1"/>
  <c r="G151" i="44"/>
  <c r="I151" i="44" s="1"/>
  <c r="H151" i="44"/>
  <c r="D69" i="43"/>
  <c r="E69" i="43" s="1"/>
  <c r="G68" i="43"/>
  <c r="I68" i="43" s="1"/>
  <c r="G150" i="43"/>
  <c r="I150" i="43" s="1"/>
  <c r="D151" i="43"/>
  <c r="D69" i="45" l="1"/>
  <c r="E69" i="45" s="1"/>
  <c r="H68" i="45"/>
  <c r="I68" i="45" s="1"/>
  <c r="F151" i="45"/>
  <c r="H151" i="45" s="1"/>
  <c r="B151" i="45"/>
  <c r="B152" i="44"/>
  <c r="F152" i="44"/>
  <c r="F69" i="44"/>
  <c r="H69" i="44" s="1"/>
  <c r="B69" i="44"/>
  <c r="B151" i="43"/>
  <c r="E151" i="43"/>
  <c r="F151" i="43" s="1"/>
  <c r="F69" i="43"/>
  <c r="G69" i="43" s="1"/>
  <c r="B69" i="43"/>
  <c r="G69" i="44" l="1"/>
  <c r="I69" i="44" s="1"/>
  <c r="D152" i="45"/>
  <c r="E152" i="45" s="1"/>
  <c r="G151" i="45"/>
  <c r="I151" i="45" s="1"/>
  <c r="F69" i="45"/>
  <c r="H69" i="45" s="1"/>
  <c r="B69" i="45"/>
  <c r="D70" i="44"/>
  <c r="E70" i="44" s="1"/>
  <c r="D153" i="44"/>
  <c r="G152" i="44"/>
  <c r="I152" i="44" s="1"/>
  <c r="H152" i="44"/>
  <c r="D152" i="43"/>
  <c r="E152" i="43" s="1"/>
  <c r="G151" i="43"/>
  <c r="I151" i="43" s="1"/>
  <c r="H151" i="43"/>
  <c r="H69" i="43"/>
  <c r="I69" i="43" s="1"/>
  <c r="D70" i="43"/>
  <c r="E70" i="43" s="1"/>
  <c r="G69" i="45" l="1"/>
  <c r="I69" i="45" s="1"/>
  <c r="D70" i="45"/>
  <c r="E70" i="45" s="1"/>
  <c r="B152" i="45"/>
  <c r="F152" i="45"/>
  <c r="H152" i="45" s="1"/>
  <c r="B153" i="44"/>
  <c r="E153" i="44"/>
  <c r="F153" i="44" s="1"/>
  <c r="F70" i="44"/>
  <c r="G70" i="44" s="1"/>
  <c r="B70" i="44"/>
  <c r="F70" i="43"/>
  <c r="B70" i="43"/>
  <c r="G70" i="43"/>
  <c r="H70" i="43"/>
  <c r="B152" i="43"/>
  <c r="F152" i="43"/>
  <c r="I70" i="43" l="1"/>
  <c r="H70" i="44"/>
  <c r="I70" i="44" s="1"/>
  <c r="D153" i="45"/>
  <c r="E153" i="45" s="1"/>
  <c r="G152" i="45"/>
  <c r="I152" i="45" s="1"/>
  <c r="F70" i="45"/>
  <c r="H70" i="45" s="1"/>
  <c r="B70" i="45"/>
  <c r="G70" i="45"/>
  <c r="D154" i="44"/>
  <c r="E154" i="44" s="1"/>
  <c r="G153" i="44"/>
  <c r="I153" i="44" s="1"/>
  <c r="H153" i="44"/>
  <c r="D71" i="44"/>
  <c r="E71" i="44" s="1"/>
  <c r="D153" i="43"/>
  <c r="E153" i="43" s="1"/>
  <c r="G152" i="43"/>
  <c r="I152" i="43" s="1"/>
  <c r="H152" i="43"/>
  <c r="D71" i="43"/>
  <c r="E71" i="43" s="1"/>
  <c r="I70" i="45" l="1"/>
  <c r="D71" i="45"/>
  <c r="E71" i="45" s="1"/>
  <c r="F153" i="45"/>
  <c r="H153" i="45" s="1"/>
  <c r="B153" i="45"/>
  <c r="F71" i="44"/>
  <c r="B71" i="44"/>
  <c r="B154" i="44"/>
  <c r="F154" i="44"/>
  <c r="B71" i="43"/>
  <c r="F71" i="43"/>
  <c r="F153" i="43"/>
  <c r="B153" i="43"/>
  <c r="F71" i="45" l="1"/>
  <c r="B71" i="45"/>
  <c r="D154" i="45"/>
  <c r="G153" i="45"/>
  <c r="I153" i="45" s="1"/>
  <c r="D155" i="44"/>
  <c r="E155" i="44" s="1"/>
  <c r="E156" i="44" s="1"/>
  <c r="G154" i="44"/>
  <c r="I154" i="44" s="1"/>
  <c r="H154" i="44"/>
  <c r="D72" i="44"/>
  <c r="G71" i="44"/>
  <c r="H71" i="44"/>
  <c r="I71" i="44" s="1"/>
  <c r="D72" i="43"/>
  <c r="E72" i="43" s="1"/>
  <c r="D154" i="43"/>
  <c r="E154" i="43" s="1"/>
  <c r="G153" i="43"/>
  <c r="I153" i="43" s="1"/>
  <c r="H153" i="43"/>
  <c r="G71" i="43"/>
  <c r="H71" i="43"/>
  <c r="I71" i="43" l="1"/>
  <c r="B154" i="45"/>
  <c r="E154" i="45"/>
  <c r="F154" i="45" s="1"/>
  <c r="D72" i="45"/>
  <c r="G71" i="45"/>
  <c r="H71" i="45"/>
  <c r="E72" i="44"/>
  <c r="F72" i="44" s="1"/>
  <c r="F155" i="44"/>
  <c r="G155" i="44" s="1"/>
  <c r="I155" i="44" s="1"/>
  <c r="I156" i="44" s="1"/>
  <c r="B155" i="44"/>
  <c r="B154" i="43"/>
  <c r="F154" i="43"/>
  <c r="H154" i="43"/>
  <c r="F72" i="43"/>
  <c r="I71" i="45" l="1"/>
  <c r="D155" i="45"/>
  <c r="E155" i="45" s="1"/>
  <c r="E156" i="45" s="1"/>
  <c r="G154" i="45"/>
  <c r="I154" i="45" s="1"/>
  <c r="H154" i="45"/>
  <c r="E72" i="45"/>
  <c r="F72" i="45" s="1"/>
  <c r="D73" i="44"/>
  <c r="E73" i="44" s="1"/>
  <c r="E74" i="44" s="1"/>
  <c r="G72" i="44"/>
  <c r="H72" i="44"/>
  <c r="H155" i="44"/>
  <c r="H156" i="44" s="1"/>
  <c r="D73" i="43"/>
  <c r="E73" i="43" s="1"/>
  <c r="E74" i="43" s="1"/>
  <c r="H72" i="43"/>
  <c r="G72" i="43"/>
  <c r="G154" i="43"/>
  <c r="I154" i="43" s="1"/>
  <c r="D155" i="43"/>
  <c r="E155" i="43" s="1"/>
  <c r="E156" i="43" s="1"/>
  <c r="I72" i="44" l="1"/>
  <c r="D73" i="45"/>
  <c r="E73" i="45" s="1"/>
  <c r="E74" i="45" s="1"/>
  <c r="H72" i="45"/>
  <c r="G72" i="45"/>
  <c r="F155" i="45"/>
  <c r="G155" i="45" s="1"/>
  <c r="I155" i="45" s="1"/>
  <c r="I156" i="45" s="1"/>
  <c r="B155" i="45"/>
  <c r="F73" i="44"/>
  <c r="G73" i="44" s="1"/>
  <c r="G74" i="44" s="1"/>
  <c r="B73" i="44"/>
  <c r="F155" i="43"/>
  <c r="G155" i="43" s="1"/>
  <c r="I155" i="43" s="1"/>
  <c r="I156" i="43" s="1"/>
  <c r="B155" i="43"/>
  <c r="I72" i="43"/>
  <c r="F73" i="43"/>
  <c r="G73" i="43" s="1"/>
  <c r="G74" i="43" s="1"/>
  <c r="B73" i="43"/>
  <c r="H73" i="43" l="1"/>
  <c r="I73" i="43" s="1"/>
  <c r="I74" i="43" s="1"/>
  <c r="H73" i="44"/>
  <c r="I73" i="44" s="1"/>
  <c r="I74" i="44" s="1"/>
  <c r="I72" i="45"/>
  <c r="H155" i="45"/>
  <c r="H156" i="45" s="1"/>
  <c r="F73" i="45"/>
  <c r="G73" i="45" s="1"/>
  <c r="G74" i="45" s="1"/>
  <c r="B73" i="45"/>
  <c r="H73" i="45"/>
  <c r="H155" i="43"/>
  <c r="H156" i="43" s="1"/>
  <c r="H74" i="43" l="1"/>
  <c r="H74" i="44"/>
  <c r="I73" i="45"/>
  <c r="I74" i="45" s="1"/>
  <c r="H74" i="45"/>
  <c r="N101" i="41" l="1"/>
  <c r="O101" i="41" s="1"/>
  <c r="P101" i="41" s="1"/>
  <c r="L101" i="41"/>
  <c r="M101" i="41" s="1"/>
  <c r="M19" i="41"/>
  <c r="N19" i="41" s="1"/>
  <c r="O19" i="41" s="1"/>
  <c r="K19" i="41"/>
  <c r="L19" i="41" s="1"/>
  <c r="N101" i="40"/>
  <c r="O101" i="40" s="1"/>
  <c r="P101" i="40" s="1"/>
  <c r="L101" i="40"/>
  <c r="M101" i="40" s="1"/>
  <c r="M19" i="40"/>
  <c r="N19" i="40" s="1"/>
  <c r="K19" i="40"/>
  <c r="L19" i="40" s="1"/>
  <c r="N103" i="39"/>
  <c r="O103" i="39" s="1"/>
  <c r="P103" i="39" s="1"/>
  <c r="L103" i="39"/>
  <c r="M103" i="39" s="1"/>
  <c r="M21" i="39"/>
  <c r="N21" i="39" s="1"/>
  <c r="O21" i="39" s="1"/>
  <c r="K21" i="39"/>
  <c r="L21" i="39" s="1"/>
  <c r="N105" i="37"/>
  <c r="O105" i="37" s="1"/>
  <c r="L105" i="37"/>
  <c r="M105" i="37" s="1"/>
  <c r="M23" i="37"/>
  <c r="N23" i="37" s="1"/>
  <c r="K23" i="37"/>
  <c r="L23" i="37" s="1"/>
  <c r="N105" i="38"/>
  <c r="O105" i="38" s="1"/>
  <c r="P105" i="38" s="1"/>
  <c r="L105" i="38"/>
  <c r="M105" i="38" s="1"/>
  <c r="N106" i="35"/>
  <c r="O106" i="35" s="1"/>
  <c r="L106" i="35"/>
  <c r="M106" i="35" s="1"/>
  <c r="M24" i="35"/>
  <c r="N24" i="35" s="1"/>
  <c r="O24" i="35" s="1"/>
  <c r="K24" i="35"/>
  <c r="L24" i="35" s="1"/>
  <c r="N106" i="34"/>
  <c r="O106" i="34" s="1"/>
  <c r="L106" i="34"/>
  <c r="M106" i="34" s="1"/>
  <c r="N24" i="34"/>
  <c r="M24" i="34"/>
  <c r="K24" i="34"/>
  <c r="L24" i="34" s="1"/>
  <c r="N106" i="31"/>
  <c r="O106" i="31" s="1"/>
  <c r="P106" i="31" s="1"/>
  <c r="L106" i="31"/>
  <c r="M106" i="31" s="1"/>
  <c r="M24" i="31"/>
  <c r="N24" i="31" s="1"/>
  <c r="O24" i="31" s="1"/>
  <c r="K24" i="31"/>
  <c r="L24" i="31" s="1"/>
  <c r="N107" i="29"/>
  <c r="O107" i="29" s="1"/>
  <c r="P107" i="29" s="1"/>
  <c r="L107" i="29"/>
  <c r="M107" i="29" s="1"/>
  <c r="M25" i="29"/>
  <c r="N25" i="29" s="1"/>
  <c r="K25" i="29"/>
  <c r="L25" i="29" s="1"/>
  <c r="N109" i="27"/>
  <c r="O109" i="27" s="1"/>
  <c r="L109" i="27"/>
  <c r="M109" i="27" s="1"/>
  <c r="M27" i="27"/>
  <c r="N27" i="27" s="1"/>
  <c r="O27" i="27" s="1"/>
  <c r="K27" i="27"/>
  <c r="L27" i="27" s="1"/>
  <c r="N109" i="26"/>
  <c r="O109" i="26" s="1"/>
  <c r="L109" i="26"/>
  <c r="M109" i="26" s="1"/>
  <c r="M27" i="26"/>
  <c r="N27" i="26" s="1"/>
  <c r="K27" i="26"/>
  <c r="L27" i="26" s="1"/>
  <c r="N110" i="24"/>
  <c r="O110" i="24" s="1"/>
  <c r="L110" i="24"/>
  <c r="M110" i="24" s="1"/>
  <c r="M28" i="24"/>
  <c r="N28" i="24" s="1"/>
  <c r="K28" i="24"/>
  <c r="L28" i="24" s="1"/>
  <c r="N108" i="25"/>
  <c r="O108" i="25" s="1"/>
  <c r="P108" i="25" s="1"/>
  <c r="L108" i="25"/>
  <c r="M108" i="25" s="1"/>
  <c r="M26" i="25"/>
  <c r="N26" i="25" s="1"/>
  <c r="O26" i="25" s="1"/>
  <c r="K26" i="25"/>
  <c r="L26" i="25" s="1"/>
  <c r="N109" i="23"/>
  <c r="O109" i="23" s="1"/>
  <c r="P109" i="23" s="1"/>
  <c r="L109" i="23"/>
  <c r="M109" i="23" s="1"/>
  <c r="M27" i="23"/>
  <c r="N27" i="23" s="1"/>
  <c r="O27" i="23" s="1"/>
  <c r="K27" i="23"/>
  <c r="L27" i="23" s="1"/>
  <c r="N109" i="22"/>
  <c r="O109" i="22" s="1"/>
  <c r="L109" i="22"/>
  <c r="M109" i="22" s="1"/>
  <c r="M27" i="22"/>
  <c r="N27" i="22" s="1"/>
  <c r="K27" i="22"/>
  <c r="L27" i="22" s="1"/>
  <c r="N110" i="21"/>
  <c r="O110" i="21" s="1"/>
  <c r="L110" i="21"/>
  <c r="M110" i="21" s="1"/>
  <c r="M28" i="21"/>
  <c r="N28" i="21" s="1"/>
  <c r="O28" i="21" s="1"/>
  <c r="K28" i="21"/>
  <c r="L28" i="21" s="1"/>
  <c r="N112" i="19"/>
  <c r="O112" i="19" s="1"/>
  <c r="P112" i="19" s="1"/>
  <c r="L112" i="19"/>
  <c r="M112" i="19" s="1"/>
  <c r="M30" i="19"/>
  <c r="N30" i="19" s="1"/>
  <c r="O30" i="19" s="1"/>
  <c r="K30" i="19"/>
  <c r="L30" i="19" s="1"/>
  <c r="N112" i="18"/>
  <c r="O112" i="18" s="1"/>
  <c r="P112" i="18" s="1"/>
  <c r="L112" i="18"/>
  <c r="M112" i="18" s="1"/>
  <c r="M30" i="18"/>
  <c r="N30" i="18" s="1"/>
  <c r="O30" i="18" s="1"/>
  <c r="K30" i="18"/>
  <c r="L30" i="18" s="1"/>
  <c r="N113" i="4"/>
  <c r="O113" i="4" s="1"/>
  <c r="P113" i="4" s="1"/>
  <c r="L113" i="4"/>
  <c r="M113" i="4" s="1"/>
  <c r="M31" i="4"/>
  <c r="N31" i="4" s="1"/>
  <c r="O31" i="4" s="1"/>
  <c r="K31" i="4"/>
  <c r="L31" i="4" s="1"/>
  <c r="N113" i="3"/>
  <c r="O113" i="3" s="1"/>
  <c r="L113" i="3"/>
  <c r="M113" i="3" s="1"/>
  <c r="M31" i="3"/>
  <c r="N31" i="3" s="1"/>
  <c r="K31" i="3"/>
  <c r="L31" i="3" s="1"/>
  <c r="O31" i="3" s="1"/>
  <c r="O19" i="40" l="1"/>
  <c r="P105" i="37"/>
  <c r="O23" i="37"/>
  <c r="P106" i="35"/>
  <c r="P106" i="34"/>
  <c r="O24" i="34"/>
  <c r="O25" i="29"/>
  <c r="P109" i="27"/>
  <c r="P109" i="26"/>
  <c r="O27" i="26"/>
  <c r="P110" i="24"/>
  <c r="O28" i="24"/>
  <c r="P109" i="22"/>
  <c r="O27" i="22"/>
  <c r="P110" i="21"/>
  <c r="P113" i="3"/>
  <c r="H3" i="17"/>
  <c r="I13" i="17"/>
  <c r="M16" i="2"/>
  <c r="J93" i="40" s="1"/>
  <c r="D95" i="21"/>
  <c r="D94" i="21"/>
  <c r="J93" i="41" l="1"/>
  <c r="U46" i="17" l="1"/>
  <c r="M18" i="41" l="1"/>
  <c r="K18" i="41"/>
  <c r="L18" i="41" s="1"/>
  <c r="M18" i="40"/>
  <c r="K18" i="40"/>
  <c r="L18" i="40" s="1"/>
  <c r="M20" i="39"/>
  <c r="K20" i="39"/>
  <c r="L20" i="39" s="1"/>
  <c r="M22" i="37"/>
  <c r="K22" i="37"/>
  <c r="L22" i="37" s="1"/>
  <c r="M22" i="38"/>
  <c r="K22" i="38"/>
  <c r="L22" i="38" s="1"/>
  <c r="M23" i="35"/>
  <c r="K23" i="35"/>
  <c r="L23" i="35" s="1"/>
  <c r="M23" i="34"/>
  <c r="K23" i="34"/>
  <c r="L23" i="34" s="1"/>
  <c r="M23" i="31"/>
  <c r="K23" i="31"/>
  <c r="L23" i="31" s="1"/>
  <c r="M24" i="29"/>
  <c r="K24" i="29"/>
  <c r="L24" i="29" s="1"/>
  <c r="M26" i="27"/>
  <c r="K26" i="27"/>
  <c r="L26" i="27" s="1"/>
  <c r="M26" i="26"/>
  <c r="K26" i="26"/>
  <c r="L26" i="26" s="1"/>
  <c r="M27" i="24"/>
  <c r="K27" i="24"/>
  <c r="L27" i="24" s="1"/>
  <c r="M25" i="25"/>
  <c r="K25" i="25"/>
  <c r="L25" i="25" s="1"/>
  <c r="M26" i="23"/>
  <c r="K26" i="23"/>
  <c r="L26" i="23" s="1"/>
  <c r="M26" i="22"/>
  <c r="K26" i="22"/>
  <c r="L26" i="22" s="1"/>
  <c r="M27" i="21"/>
  <c r="K27" i="21"/>
  <c r="L27" i="21" s="1"/>
  <c r="M29" i="19" l="1"/>
  <c r="K29" i="19"/>
  <c r="L29" i="19" s="1"/>
  <c r="M29" i="18"/>
  <c r="K29" i="18"/>
  <c r="L29" i="18" s="1"/>
  <c r="M30" i="4"/>
  <c r="K30" i="4"/>
  <c r="L30" i="4" s="1"/>
  <c r="M30" i="3"/>
  <c r="K30" i="3"/>
  <c r="L30" i="3" s="1"/>
  <c r="N102" i="39"/>
  <c r="O102" i="39" s="1"/>
  <c r="L102" i="39"/>
  <c r="M102" i="39" s="1"/>
  <c r="N104" i="37"/>
  <c r="O104" i="37" s="1"/>
  <c r="L104" i="37"/>
  <c r="M104" i="37" s="1"/>
  <c r="N104" i="38"/>
  <c r="O104" i="38" s="1"/>
  <c r="L104" i="38"/>
  <c r="M104" i="38" s="1"/>
  <c r="N105" i="35"/>
  <c r="O105" i="35" s="1"/>
  <c r="L105" i="35"/>
  <c r="M105" i="35" s="1"/>
  <c r="N105" i="34"/>
  <c r="O105" i="34" s="1"/>
  <c r="L105" i="34"/>
  <c r="M105" i="34" s="1"/>
  <c r="N105" i="31"/>
  <c r="O105" i="31" s="1"/>
  <c r="L105" i="31"/>
  <c r="M105" i="31" s="1"/>
  <c r="N106" i="29"/>
  <c r="O106" i="29" s="1"/>
  <c r="L106" i="29"/>
  <c r="M106" i="29" s="1"/>
  <c r="N108" i="27"/>
  <c r="O108" i="27" s="1"/>
  <c r="L108" i="27"/>
  <c r="M108" i="27" s="1"/>
  <c r="N108" i="26"/>
  <c r="O108" i="26" s="1"/>
  <c r="L108" i="26"/>
  <c r="M108" i="26" s="1"/>
  <c r="N109" i="24"/>
  <c r="O109" i="24" s="1"/>
  <c r="L109" i="24"/>
  <c r="M109" i="24" s="1"/>
  <c r="N107" i="25"/>
  <c r="O107" i="25" s="1"/>
  <c r="L107" i="25"/>
  <c r="M107" i="25" s="1"/>
  <c r="N108" i="23"/>
  <c r="O108" i="23" s="1"/>
  <c r="L108" i="23"/>
  <c r="M108" i="23" s="1"/>
  <c r="N108" i="22"/>
  <c r="O108" i="22" s="1"/>
  <c r="L108" i="22"/>
  <c r="M108" i="22" s="1"/>
  <c r="N109" i="21"/>
  <c r="O109" i="21" s="1"/>
  <c r="L109" i="21"/>
  <c r="M109" i="21" s="1"/>
  <c r="N111" i="19"/>
  <c r="O111" i="19" s="1"/>
  <c r="L111" i="19"/>
  <c r="M111" i="19" s="1"/>
  <c r="N111" i="18"/>
  <c r="O111" i="18" s="1"/>
  <c r="L111" i="18"/>
  <c r="M111" i="18" s="1"/>
  <c r="N112" i="4"/>
  <c r="O112" i="4" s="1"/>
  <c r="L112" i="4"/>
  <c r="M112" i="4" s="1"/>
  <c r="N112" i="3"/>
  <c r="O112" i="3" s="1"/>
  <c r="L112" i="3"/>
  <c r="M112" i="3" s="1"/>
  <c r="P109" i="21" l="1"/>
  <c r="P109" i="24"/>
  <c r="P107" i="25"/>
  <c r="P108" i="22"/>
  <c r="P104" i="37"/>
  <c r="P108" i="27"/>
  <c r="P105" i="34"/>
  <c r="P102" i="39"/>
  <c r="P108" i="23"/>
  <c r="P112" i="3"/>
  <c r="P104" i="38"/>
  <c r="P105" i="35"/>
  <c r="P105" i="31"/>
  <c r="P106" i="29"/>
  <c r="P108" i="26"/>
  <c r="P111" i="19"/>
  <c r="P112" i="4"/>
  <c r="M17" i="41" l="1"/>
  <c r="N17" i="41" s="1"/>
  <c r="K17" i="41"/>
  <c r="L17" i="41" s="1"/>
  <c r="M17" i="40"/>
  <c r="N17" i="40" s="1"/>
  <c r="K17" i="40"/>
  <c r="L17" i="40" s="1"/>
  <c r="P155" i="42"/>
  <c r="O155" i="42"/>
  <c r="M155" i="42"/>
  <c r="J155" i="42"/>
  <c r="P154" i="42"/>
  <c r="O154" i="42"/>
  <c r="M154" i="42"/>
  <c r="J154" i="42"/>
  <c r="P153" i="42"/>
  <c r="O153" i="42"/>
  <c r="M153" i="42"/>
  <c r="J153" i="42"/>
  <c r="P152" i="42"/>
  <c r="O152" i="42"/>
  <c r="M152" i="42"/>
  <c r="J152" i="42"/>
  <c r="P151" i="42"/>
  <c r="O151" i="42"/>
  <c r="M151" i="42"/>
  <c r="J151" i="42"/>
  <c r="P150" i="42"/>
  <c r="O150" i="42"/>
  <c r="M150" i="42"/>
  <c r="J150" i="42"/>
  <c r="P149" i="42"/>
  <c r="O149" i="42"/>
  <c r="M149" i="42"/>
  <c r="J149" i="42"/>
  <c r="P148" i="42"/>
  <c r="O148" i="42"/>
  <c r="M148" i="42"/>
  <c r="J148" i="42"/>
  <c r="P147" i="42"/>
  <c r="O147" i="42"/>
  <c r="M147" i="42"/>
  <c r="J147" i="42"/>
  <c r="P146" i="42"/>
  <c r="O146" i="42"/>
  <c r="M146" i="42"/>
  <c r="J146" i="42"/>
  <c r="P145" i="42"/>
  <c r="O145" i="42"/>
  <c r="M145" i="42"/>
  <c r="J145" i="42"/>
  <c r="P144" i="42"/>
  <c r="O144" i="42"/>
  <c r="M144" i="42"/>
  <c r="J144" i="42"/>
  <c r="P143" i="42"/>
  <c r="O143" i="42"/>
  <c r="M143" i="42"/>
  <c r="J143" i="42"/>
  <c r="P142" i="42"/>
  <c r="O142" i="42"/>
  <c r="M142" i="42"/>
  <c r="J142" i="42"/>
  <c r="P141" i="42"/>
  <c r="O141" i="42"/>
  <c r="M141" i="42"/>
  <c r="J141" i="42"/>
  <c r="P140" i="42"/>
  <c r="O140" i="42"/>
  <c r="M140" i="42"/>
  <c r="J140" i="42"/>
  <c r="P139" i="42"/>
  <c r="O139" i="42"/>
  <c r="M139" i="42"/>
  <c r="J139" i="42"/>
  <c r="P138" i="42"/>
  <c r="O138" i="42"/>
  <c r="M138" i="42"/>
  <c r="J138" i="42"/>
  <c r="P137" i="42"/>
  <c r="O137" i="42"/>
  <c r="M137" i="42"/>
  <c r="J137" i="42"/>
  <c r="P136" i="42"/>
  <c r="O136" i="42"/>
  <c r="M136" i="42"/>
  <c r="J136" i="42"/>
  <c r="P135" i="42"/>
  <c r="O135" i="42"/>
  <c r="M135" i="42"/>
  <c r="J135" i="42"/>
  <c r="P134" i="42"/>
  <c r="O134" i="42"/>
  <c r="M134" i="42"/>
  <c r="J134" i="42"/>
  <c r="P133" i="42"/>
  <c r="O133" i="42"/>
  <c r="M133" i="42"/>
  <c r="J133" i="42"/>
  <c r="P132" i="42"/>
  <c r="O132" i="42"/>
  <c r="M132" i="42"/>
  <c r="J132" i="42"/>
  <c r="O131" i="42"/>
  <c r="M131" i="42"/>
  <c r="O130" i="42"/>
  <c r="M130" i="42"/>
  <c r="O129" i="42"/>
  <c r="M129" i="42"/>
  <c r="O128" i="42"/>
  <c r="M128" i="42"/>
  <c r="O127" i="42"/>
  <c r="M127" i="42"/>
  <c r="O126" i="42"/>
  <c r="M126" i="42"/>
  <c r="O125" i="42"/>
  <c r="M125" i="42"/>
  <c r="O124" i="42"/>
  <c r="M124" i="42"/>
  <c r="O123" i="42"/>
  <c r="M123" i="42"/>
  <c r="O122" i="42"/>
  <c r="M122" i="42"/>
  <c r="O121" i="42"/>
  <c r="M121" i="42"/>
  <c r="O120" i="42"/>
  <c r="M120" i="42"/>
  <c r="O119" i="42"/>
  <c r="M119" i="42"/>
  <c r="O118" i="42"/>
  <c r="M118" i="42"/>
  <c r="O117" i="42"/>
  <c r="M117" i="42"/>
  <c r="O116" i="42"/>
  <c r="M116" i="42"/>
  <c r="O115" i="42"/>
  <c r="M115" i="42"/>
  <c r="O114" i="42"/>
  <c r="M114" i="42"/>
  <c r="O113" i="42"/>
  <c r="M113" i="42"/>
  <c r="O112" i="42"/>
  <c r="M112" i="42"/>
  <c r="O111" i="42"/>
  <c r="M111" i="42"/>
  <c r="O110" i="42"/>
  <c r="M110" i="42"/>
  <c r="O109" i="42"/>
  <c r="M109" i="42"/>
  <c r="O108" i="42"/>
  <c r="M108" i="42"/>
  <c r="O107" i="42"/>
  <c r="M107" i="42"/>
  <c r="O106" i="42"/>
  <c r="M106" i="42"/>
  <c r="O105" i="42"/>
  <c r="M105" i="42"/>
  <c r="O104" i="42"/>
  <c r="M104" i="42"/>
  <c r="O103" i="42"/>
  <c r="M103" i="42"/>
  <c r="O102" i="42"/>
  <c r="M102" i="42"/>
  <c r="J97" i="42"/>
  <c r="L94" i="42"/>
  <c r="C100" i="42"/>
  <c r="D91" i="42"/>
  <c r="D90" i="42"/>
  <c r="N73" i="42"/>
  <c r="L73" i="42"/>
  <c r="N72" i="42"/>
  <c r="L72" i="42"/>
  <c r="N71" i="42"/>
  <c r="L71" i="42"/>
  <c r="N70" i="42"/>
  <c r="L70" i="42"/>
  <c r="N69" i="42"/>
  <c r="L69" i="42"/>
  <c r="N68" i="42"/>
  <c r="L68" i="42"/>
  <c r="N67" i="42"/>
  <c r="L67" i="42"/>
  <c r="N66" i="42"/>
  <c r="L66" i="42"/>
  <c r="N65" i="42"/>
  <c r="L65" i="42"/>
  <c r="N64" i="42"/>
  <c r="L64" i="42"/>
  <c r="N63" i="42"/>
  <c r="L63" i="42"/>
  <c r="N62" i="42"/>
  <c r="L62" i="42"/>
  <c r="N61" i="42"/>
  <c r="L61" i="42"/>
  <c r="N60" i="42"/>
  <c r="L60" i="42"/>
  <c r="N59" i="42"/>
  <c r="L59" i="42"/>
  <c r="N58" i="42"/>
  <c r="L58" i="42"/>
  <c r="N57" i="42"/>
  <c r="L57" i="42"/>
  <c r="N56" i="42"/>
  <c r="L56" i="42"/>
  <c r="N55" i="42"/>
  <c r="L55" i="42"/>
  <c r="N54" i="42"/>
  <c r="L54" i="42"/>
  <c r="N53" i="42"/>
  <c r="L53" i="42"/>
  <c r="N52" i="42"/>
  <c r="L52" i="42"/>
  <c r="N51" i="42"/>
  <c r="L51" i="42"/>
  <c r="N50" i="42"/>
  <c r="L50" i="42"/>
  <c r="N49" i="42"/>
  <c r="L49" i="42"/>
  <c r="N48" i="42"/>
  <c r="L48" i="42"/>
  <c r="N47" i="42"/>
  <c r="L47" i="42"/>
  <c r="N46" i="42"/>
  <c r="L46" i="42"/>
  <c r="N45" i="42"/>
  <c r="L45" i="42"/>
  <c r="N44" i="42"/>
  <c r="L44" i="42"/>
  <c r="N43" i="42"/>
  <c r="L43" i="42"/>
  <c r="N42" i="42"/>
  <c r="L42" i="42"/>
  <c r="N41" i="42"/>
  <c r="L41" i="42"/>
  <c r="N40" i="42"/>
  <c r="L40" i="42"/>
  <c r="N39" i="42"/>
  <c r="L39" i="42"/>
  <c r="N38" i="42"/>
  <c r="L38" i="42"/>
  <c r="N37" i="42"/>
  <c r="L37" i="42"/>
  <c r="N36" i="42"/>
  <c r="L36" i="42"/>
  <c r="N35" i="42"/>
  <c r="L35" i="42"/>
  <c r="N34" i="42"/>
  <c r="L34" i="42"/>
  <c r="N33" i="42"/>
  <c r="L33" i="42"/>
  <c r="N32" i="42"/>
  <c r="L32" i="42"/>
  <c r="N31" i="42"/>
  <c r="L31" i="42"/>
  <c r="N30" i="42"/>
  <c r="L30" i="42"/>
  <c r="N29" i="42"/>
  <c r="L29" i="42"/>
  <c r="N28" i="42"/>
  <c r="L28" i="42"/>
  <c r="N27" i="42"/>
  <c r="L27" i="42"/>
  <c r="N26" i="42"/>
  <c r="L26" i="42"/>
  <c r="N25" i="42"/>
  <c r="L25" i="42"/>
  <c r="N24" i="42"/>
  <c r="L24" i="42"/>
  <c r="N23" i="42"/>
  <c r="L23" i="42"/>
  <c r="N22" i="42"/>
  <c r="L22" i="42"/>
  <c r="N21" i="42"/>
  <c r="L21" i="42"/>
  <c r="N20" i="42"/>
  <c r="L20" i="42"/>
  <c r="N19" i="42"/>
  <c r="L19" i="42"/>
  <c r="C17" i="42"/>
  <c r="C18" i="42" s="1"/>
  <c r="C19" i="42" s="1"/>
  <c r="C20" i="42" s="1"/>
  <c r="C21" i="42" s="1"/>
  <c r="C22" i="42" s="1"/>
  <c r="C23" i="42" s="1"/>
  <c r="C24" i="42" s="1"/>
  <c r="C25" i="42" s="1"/>
  <c r="C26" i="42" s="1"/>
  <c r="C27" i="42" s="1"/>
  <c r="C28" i="42" s="1"/>
  <c r="C29" i="42" s="1"/>
  <c r="C30" i="42" s="1"/>
  <c r="C31" i="42" s="1"/>
  <c r="C32" i="42" s="1"/>
  <c r="C33" i="42" s="1"/>
  <c r="C34" i="42" s="1"/>
  <c r="C35" i="42" s="1"/>
  <c r="C36" i="42" s="1"/>
  <c r="C37" i="42" s="1"/>
  <c r="C38" i="42" s="1"/>
  <c r="C39" i="42" s="1"/>
  <c r="C40" i="42" s="1"/>
  <c r="C41" i="42" s="1"/>
  <c r="C42" i="42" s="1"/>
  <c r="C43" i="42" s="1"/>
  <c r="C44" i="42" s="1"/>
  <c r="C45" i="42" s="1"/>
  <c r="B17" i="42"/>
  <c r="I14" i="42"/>
  <c r="K11" i="42"/>
  <c r="P84" i="42"/>
  <c r="P155" i="41"/>
  <c r="O155" i="41"/>
  <c r="M155" i="41"/>
  <c r="J155" i="41"/>
  <c r="P154" i="41"/>
  <c r="O154" i="41"/>
  <c r="M154" i="41"/>
  <c r="J154" i="41"/>
  <c r="P153" i="41"/>
  <c r="O153" i="41"/>
  <c r="M153" i="41"/>
  <c r="J153" i="41"/>
  <c r="P152" i="41"/>
  <c r="O152" i="41"/>
  <c r="M152" i="41"/>
  <c r="J152" i="41"/>
  <c r="P151" i="41"/>
  <c r="O151" i="41"/>
  <c r="M151" i="41"/>
  <c r="J151" i="41"/>
  <c r="P150" i="41"/>
  <c r="O150" i="41"/>
  <c r="M150" i="41"/>
  <c r="J150" i="41"/>
  <c r="P149" i="41"/>
  <c r="O149" i="41"/>
  <c r="M149" i="41"/>
  <c r="J149" i="41"/>
  <c r="P148" i="41"/>
  <c r="O148" i="41"/>
  <c r="M148" i="41"/>
  <c r="J148" i="41"/>
  <c r="P147" i="41"/>
  <c r="O147" i="41"/>
  <c r="M147" i="41"/>
  <c r="J147" i="41"/>
  <c r="P146" i="41"/>
  <c r="O146" i="41"/>
  <c r="M146" i="41"/>
  <c r="J146" i="41"/>
  <c r="P145" i="41"/>
  <c r="O145" i="41"/>
  <c r="M145" i="41"/>
  <c r="J145" i="41"/>
  <c r="P144" i="41"/>
  <c r="O144" i="41"/>
  <c r="M144" i="41"/>
  <c r="J144" i="41"/>
  <c r="P143" i="41"/>
  <c r="O143" i="41"/>
  <c r="M143" i="41"/>
  <c r="J143" i="41"/>
  <c r="P142" i="41"/>
  <c r="O142" i="41"/>
  <c r="M142" i="41"/>
  <c r="J142" i="41"/>
  <c r="P141" i="41"/>
  <c r="O141" i="41"/>
  <c r="M141" i="41"/>
  <c r="J141" i="41"/>
  <c r="P140" i="41"/>
  <c r="O140" i="41"/>
  <c r="M140" i="41"/>
  <c r="J140" i="41"/>
  <c r="P139" i="41"/>
  <c r="O139" i="41"/>
  <c r="M139" i="41"/>
  <c r="J139" i="41"/>
  <c r="P138" i="41"/>
  <c r="O138" i="41"/>
  <c r="M138" i="41"/>
  <c r="J138" i="41"/>
  <c r="P137" i="41"/>
  <c r="O137" i="41"/>
  <c r="M137" i="41"/>
  <c r="J137" i="41"/>
  <c r="P136" i="41"/>
  <c r="O136" i="41"/>
  <c r="M136" i="41"/>
  <c r="J136" i="41"/>
  <c r="P135" i="41"/>
  <c r="O135" i="41"/>
  <c r="M135" i="41"/>
  <c r="J135" i="41"/>
  <c r="P134" i="41"/>
  <c r="O134" i="41"/>
  <c r="M134" i="41"/>
  <c r="J134" i="41"/>
  <c r="P133" i="41"/>
  <c r="O133" i="41"/>
  <c r="M133" i="41"/>
  <c r="J133" i="41"/>
  <c r="P132" i="41"/>
  <c r="O132" i="41"/>
  <c r="M132" i="41"/>
  <c r="J132" i="41"/>
  <c r="O131" i="41"/>
  <c r="M131" i="41"/>
  <c r="O130" i="41"/>
  <c r="M130" i="41"/>
  <c r="O129" i="41"/>
  <c r="M129" i="41"/>
  <c r="O128" i="41"/>
  <c r="M128" i="41"/>
  <c r="O127" i="41"/>
  <c r="M127" i="41"/>
  <c r="O126" i="41"/>
  <c r="M126" i="41"/>
  <c r="O125" i="41"/>
  <c r="M125" i="41"/>
  <c r="O124" i="41"/>
  <c r="M124" i="41"/>
  <c r="O123" i="41"/>
  <c r="M123" i="41"/>
  <c r="O122" i="41"/>
  <c r="M122" i="41"/>
  <c r="O121" i="41"/>
  <c r="M121" i="41"/>
  <c r="O120" i="41"/>
  <c r="M120" i="41"/>
  <c r="O119" i="41"/>
  <c r="M119" i="41"/>
  <c r="O118" i="41"/>
  <c r="M118" i="41"/>
  <c r="O117" i="41"/>
  <c r="M117" i="41"/>
  <c r="O116" i="41"/>
  <c r="M116" i="41"/>
  <c r="O115" i="41"/>
  <c r="M115" i="41"/>
  <c r="O114" i="41"/>
  <c r="M114" i="41"/>
  <c r="O113" i="41"/>
  <c r="M113" i="41"/>
  <c r="O112" i="41"/>
  <c r="M112" i="41"/>
  <c r="O111" i="41"/>
  <c r="M111" i="41"/>
  <c r="O110" i="41"/>
  <c r="M110" i="41"/>
  <c r="O109" i="41"/>
  <c r="M109" i="41"/>
  <c r="O108" i="41"/>
  <c r="M108" i="41"/>
  <c r="O107" i="41"/>
  <c r="M107" i="41"/>
  <c r="O106" i="41"/>
  <c r="M106" i="41"/>
  <c r="O105" i="41"/>
  <c r="M105" i="41"/>
  <c r="O104" i="41"/>
  <c r="M104" i="41"/>
  <c r="O103" i="41"/>
  <c r="M103" i="41"/>
  <c r="D97" i="41"/>
  <c r="D95" i="41"/>
  <c r="L94" i="41"/>
  <c r="D94" i="41"/>
  <c r="D92" i="41"/>
  <c r="D91" i="41"/>
  <c r="D90" i="41"/>
  <c r="N73" i="41"/>
  <c r="L73" i="41"/>
  <c r="N72" i="41"/>
  <c r="L72" i="41"/>
  <c r="N71" i="41"/>
  <c r="L71" i="41"/>
  <c r="N70" i="41"/>
  <c r="L70" i="41"/>
  <c r="N69" i="41"/>
  <c r="L69" i="41"/>
  <c r="N68" i="41"/>
  <c r="L68" i="41"/>
  <c r="N67" i="41"/>
  <c r="L67" i="41"/>
  <c r="N66" i="41"/>
  <c r="L66" i="41"/>
  <c r="N65" i="41"/>
  <c r="L65" i="41"/>
  <c r="N64" i="41"/>
  <c r="L64" i="41"/>
  <c r="N63" i="41"/>
  <c r="L63" i="41"/>
  <c r="N62" i="41"/>
  <c r="L62" i="41"/>
  <c r="N61" i="41"/>
  <c r="L61" i="41"/>
  <c r="N60" i="41"/>
  <c r="L60" i="41"/>
  <c r="N59" i="41"/>
  <c r="L59" i="41"/>
  <c r="N58" i="41"/>
  <c r="L58" i="41"/>
  <c r="N57" i="41"/>
  <c r="L57" i="41"/>
  <c r="N56" i="41"/>
  <c r="L56" i="41"/>
  <c r="N55" i="41"/>
  <c r="L55" i="41"/>
  <c r="N54" i="41"/>
  <c r="L54" i="41"/>
  <c r="N53" i="41"/>
  <c r="L53" i="41"/>
  <c r="N52" i="41"/>
  <c r="L52" i="41"/>
  <c r="N51" i="41"/>
  <c r="L51" i="41"/>
  <c r="N50" i="41"/>
  <c r="L50" i="41"/>
  <c r="N49" i="41"/>
  <c r="L49" i="41"/>
  <c r="N48" i="41"/>
  <c r="L48" i="41"/>
  <c r="N47" i="41"/>
  <c r="L47" i="41"/>
  <c r="N46" i="41"/>
  <c r="L46" i="41"/>
  <c r="N45" i="41"/>
  <c r="L45" i="41"/>
  <c r="N44" i="41"/>
  <c r="L44" i="41"/>
  <c r="N43" i="41"/>
  <c r="L43" i="41"/>
  <c r="N42" i="41"/>
  <c r="L42" i="41"/>
  <c r="N41" i="41"/>
  <c r="L41" i="41"/>
  <c r="N40" i="41"/>
  <c r="L40" i="41"/>
  <c r="N39" i="41"/>
  <c r="L39" i="41"/>
  <c r="N38" i="41"/>
  <c r="L38" i="41"/>
  <c r="N37" i="41"/>
  <c r="L37" i="41"/>
  <c r="N36" i="41"/>
  <c r="L36" i="41"/>
  <c r="N35" i="41"/>
  <c r="L35" i="41"/>
  <c r="N34" i="41"/>
  <c r="L34" i="41"/>
  <c r="N33" i="41"/>
  <c r="L33" i="41"/>
  <c r="N32" i="41"/>
  <c r="L32" i="41"/>
  <c r="N31" i="41"/>
  <c r="L31" i="41"/>
  <c r="N30" i="41"/>
  <c r="L30" i="41"/>
  <c r="N29" i="41"/>
  <c r="L29" i="41"/>
  <c r="N28" i="41"/>
  <c r="L28" i="41"/>
  <c r="N27" i="41"/>
  <c r="L27" i="41"/>
  <c r="N26" i="41"/>
  <c r="L26" i="41"/>
  <c r="N25" i="41"/>
  <c r="L25" i="41"/>
  <c r="N24" i="41"/>
  <c r="L24" i="41"/>
  <c r="N23" i="41"/>
  <c r="L23" i="41"/>
  <c r="N22" i="41"/>
  <c r="L22" i="41"/>
  <c r="N21" i="41"/>
  <c r="L21" i="41"/>
  <c r="N18" i="41"/>
  <c r="C17" i="41"/>
  <c r="C18" i="41" s="1"/>
  <c r="C19" i="41" s="1"/>
  <c r="C20" i="41" s="1"/>
  <c r="C21" i="41" s="1"/>
  <c r="C22" i="41" s="1"/>
  <c r="C23" i="41" s="1"/>
  <c r="C24" i="41" s="1"/>
  <c r="C25" i="41" s="1"/>
  <c r="C26" i="41" s="1"/>
  <c r="C27" i="41" s="1"/>
  <c r="C28" i="41" s="1"/>
  <c r="C29" i="41" s="1"/>
  <c r="C30" i="41" s="1"/>
  <c r="C31" i="41" s="1"/>
  <c r="C32" i="41" s="1"/>
  <c r="C33" i="41" s="1"/>
  <c r="C34" i="41" s="1"/>
  <c r="C35" i="41" s="1"/>
  <c r="C36" i="41" s="1"/>
  <c r="C37" i="41" s="1"/>
  <c r="C38" i="41" s="1"/>
  <c r="C39" i="41" s="1"/>
  <c r="C40" i="41" s="1"/>
  <c r="C41" i="41" s="1"/>
  <c r="C42" i="41" s="1"/>
  <c r="C43" i="41" s="1"/>
  <c r="C44" i="41" s="1"/>
  <c r="C45" i="41" s="1"/>
  <c r="B17" i="41"/>
  <c r="K11" i="41"/>
  <c r="P84" i="41"/>
  <c r="P155" i="40"/>
  <c r="O155" i="40"/>
  <c r="M155" i="40"/>
  <c r="J155" i="40"/>
  <c r="P154" i="40"/>
  <c r="O154" i="40"/>
  <c r="M154" i="40"/>
  <c r="J154" i="40"/>
  <c r="P153" i="40"/>
  <c r="O153" i="40"/>
  <c r="M153" i="40"/>
  <c r="J153" i="40"/>
  <c r="P152" i="40"/>
  <c r="O152" i="40"/>
  <c r="M152" i="40"/>
  <c r="J152" i="40"/>
  <c r="P151" i="40"/>
  <c r="O151" i="40"/>
  <c r="M151" i="40"/>
  <c r="J151" i="40"/>
  <c r="P150" i="40"/>
  <c r="O150" i="40"/>
  <c r="M150" i="40"/>
  <c r="J150" i="40"/>
  <c r="P149" i="40"/>
  <c r="O149" i="40"/>
  <c r="M149" i="40"/>
  <c r="J149" i="40"/>
  <c r="P148" i="40"/>
  <c r="O148" i="40"/>
  <c r="M148" i="40"/>
  <c r="J148" i="40"/>
  <c r="P147" i="40"/>
  <c r="O147" i="40"/>
  <c r="M147" i="40"/>
  <c r="J147" i="40"/>
  <c r="P146" i="40"/>
  <c r="O146" i="40"/>
  <c r="M146" i="40"/>
  <c r="J146" i="40"/>
  <c r="P145" i="40"/>
  <c r="O145" i="40"/>
  <c r="M145" i="40"/>
  <c r="J145" i="40"/>
  <c r="P144" i="40"/>
  <c r="O144" i="40"/>
  <c r="M144" i="40"/>
  <c r="J144" i="40"/>
  <c r="P143" i="40"/>
  <c r="O143" i="40"/>
  <c r="M143" i="40"/>
  <c r="J143" i="40"/>
  <c r="P142" i="40"/>
  <c r="O142" i="40"/>
  <c r="M142" i="40"/>
  <c r="J142" i="40"/>
  <c r="P141" i="40"/>
  <c r="O141" i="40"/>
  <c r="M141" i="40"/>
  <c r="J141" i="40"/>
  <c r="P140" i="40"/>
  <c r="O140" i="40"/>
  <c r="M140" i="40"/>
  <c r="J140" i="40"/>
  <c r="P139" i="40"/>
  <c r="O139" i="40"/>
  <c r="M139" i="40"/>
  <c r="J139" i="40"/>
  <c r="P138" i="40"/>
  <c r="O138" i="40"/>
  <c r="M138" i="40"/>
  <c r="J138" i="40"/>
  <c r="P137" i="40"/>
  <c r="O137" i="40"/>
  <c r="M137" i="40"/>
  <c r="J137" i="40"/>
  <c r="P136" i="40"/>
  <c r="O136" i="40"/>
  <c r="M136" i="40"/>
  <c r="J136" i="40"/>
  <c r="P135" i="40"/>
  <c r="O135" i="40"/>
  <c r="M135" i="40"/>
  <c r="J135" i="40"/>
  <c r="P134" i="40"/>
  <c r="O134" i="40"/>
  <c r="M134" i="40"/>
  <c r="J134" i="40"/>
  <c r="P133" i="40"/>
  <c r="O133" i="40"/>
  <c r="M133" i="40"/>
  <c r="J133" i="40"/>
  <c r="P132" i="40"/>
  <c r="O132" i="40"/>
  <c r="M132" i="40"/>
  <c r="J132" i="40"/>
  <c r="O131" i="40"/>
  <c r="M131" i="40"/>
  <c r="O130" i="40"/>
  <c r="M130" i="40"/>
  <c r="O129" i="40"/>
  <c r="M129" i="40"/>
  <c r="O128" i="40"/>
  <c r="M128" i="40"/>
  <c r="O127" i="40"/>
  <c r="M127" i="40"/>
  <c r="O126" i="40"/>
  <c r="M126" i="40"/>
  <c r="O125" i="40"/>
  <c r="M125" i="40"/>
  <c r="O124" i="40"/>
  <c r="M124" i="40"/>
  <c r="O123" i="40"/>
  <c r="M123" i="40"/>
  <c r="O122" i="40"/>
  <c r="M122" i="40"/>
  <c r="O121" i="40"/>
  <c r="M121" i="40"/>
  <c r="O120" i="40"/>
  <c r="M120" i="40"/>
  <c r="O119" i="40"/>
  <c r="M119" i="40"/>
  <c r="O118" i="40"/>
  <c r="M118" i="40"/>
  <c r="O117" i="40"/>
  <c r="M117" i="40"/>
  <c r="O116" i="40"/>
  <c r="M116" i="40"/>
  <c r="O115" i="40"/>
  <c r="M115" i="40"/>
  <c r="O114" i="40"/>
  <c r="M114" i="40"/>
  <c r="O113" i="40"/>
  <c r="M113" i="40"/>
  <c r="O112" i="40"/>
  <c r="M112" i="40"/>
  <c r="O111" i="40"/>
  <c r="M111" i="40"/>
  <c r="O110" i="40"/>
  <c r="M110" i="40"/>
  <c r="O109" i="40"/>
  <c r="M109" i="40"/>
  <c r="O108" i="40"/>
  <c r="M108" i="40"/>
  <c r="O107" i="40"/>
  <c r="M107" i="40"/>
  <c r="O106" i="40"/>
  <c r="M106" i="40"/>
  <c r="O105" i="40"/>
  <c r="M105" i="40"/>
  <c r="O104" i="40"/>
  <c r="M104" i="40"/>
  <c r="O103" i="40"/>
  <c r="M103" i="40"/>
  <c r="D97" i="40"/>
  <c r="D95" i="40"/>
  <c r="L94" i="40"/>
  <c r="D94" i="40"/>
  <c r="C100" i="40" s="1"/>
  <c r="D92" i="40"/>
  <c r="D91" i="40"/>
  <c r="D90" i="40"/>
  <c r="N73" i="40"/>
  <c r="L73" i="40"/>
  <c r="N72" i="40"/>
  <c r="L72" i="40"/>
  <c r="N71" i="40"/>
  <c r="L71" i="40"/>
  <c r="N70" i="40"/>
  <c r="L70" i="40"/>
  <c r="N69" i="40"/>
  <c r="L69" i="40"/>
  <c r="N68" i="40"/>
  <c r="L68" i="40"/>
  <c r="N67" i="40"/>
  <c r="L67" i="40"/>
  <c r="N66" i="40"/>
  <c r="L66" i="40"/>
  <c r="N65" i="40"/>
  <c r="L65" i="40"/>
  <c r="N64" i="40"/>
  <c r="L64" i="40"/>
  <c r="N63" i="40"/>
  <c r="L63" i="40"/>
  <c r="N62" i="40"/>
  <c r="L62" i="40"/>
  <c r="N61" i="40"/>
  <c r="L61" i="40"/>
  <c r="N60" i="40"/>
  <c r="L60" i="40"/>
  <c r="N59" i="40"/>
  <c r="L59" i="40"/>
  <c r="N58" i="40"/>
  <c r="L58" i="40"/>
  <c r="N57" i="40"/>
  <c r="L57" i="40"/>
  <c r="N56" i="40"/>
  <c r="L56" i="40"/>
  <c r="N55" i="40"/>
  <c r="L55" i="40"/>
  <c r="N54" i="40"/>
  <c r="L54" i="40"/>
  <c r="N53" i="40"/>
  <c r="L53" i="40"/>
  <c r="N52" i="40"/>
  <c r="L52" i="40"/>
  <c r="N51" i="40"/>
  <c r="L51" i="40"/>
  <c r="N50" i="40"/>
  <c r="L50" i="40"/>
  <c r="N49" i="40"/>
  <c r="L49" i="40"/>
  <c r="N48" i="40"/>
  <c r="L48" i="40"/>
  <c r="N47" i="40"/>
  <c r="L47" i="40"/>
  <c r="N46" i="40"/>
  <c r="L46" i="40"/>
  <c r="N45" i="40"/>
  <c r="L45" i="40"/>
  <c r="N44" i="40"/>
  <c r="L44" i="40"/>
  <c r="N43" i="40"/>
  <c r="L43" i="40"/>
  <c r="N42" i="40"/>
  <c r="L42" i="40"/>
  <c r="N41" i="40"/>
  <c r="L41" i="40"/>
  <c r="N40" i="40"/>
  <c r="L40" i="40"/>
  <c r="N39" i="40"/>
  <c r="L39" i="40"/>
  <c r="N38" i="40"/>
  <c r="L38" i="40"/>
  <c r="N37" i="40"/>
  <c r="L37" i="40"/>
  <c r="N36" i="40"/>
  <c r="L36" i="40"/>
  <c r="N35" i="40"/>
  <c r="L35" i="40"/>
  <c r="N34" i="40"/>
  <c r="L34" i="40"/>
  <c r="N33" i="40"/>
  <c r="L33" i="40"/>
  <c r="N32" i="40"/>
  <c r="L32" i="40"/>
  <c r="N31" i="40"/>
  <c r="L31" i="40"/>
  <c r="N30" i="40"/>
  <c r="L30" i="40"/>
  <c r="N29" i="40"/>
  <c r="L29" i="40"/>
  <c r="N28" i="40"/>
  <c r="L28" i="40"/>
  <c r="N27" i="40"/>
  <c r="L27" i="40"/>
  <c r="N26" i="40"/>
  <c r="L26" i="40"/>
  <c r="N25" i="40"/>
  <c r="L25" i="40"/>
  <c r="N24" i="40"/>
  <c r="L24" i="40"/>
  <c r="N23" i="40"/>
  <c r="L23" i="40"/>
  <c r="N22" i="40"/>
  <c r="L22" i="40"/>
  <c r="N21" i="40"/>
  <c r="L21" i="40"/>
  <c r="N18" i="40"/>
  <c r="C17" i="40"/>
  <c r="C18" i="40" s="1"/>
  <c r="C19" i="40" s="1"/>
  <c r="C20" i="40" s="1"/>
  <c r="C21" i="40" s="1"/>
  <c r="C22" i="40" s="1"/>
  <c r="C23" i="40" s="1"/>
  <c r="C24" i="40" s="1"/>
  <c r="C25" i="40" s="1"/>
  <c r="C26" i="40" s="1"/>
  <c r="C27" i="40" s="1"/>
  <c r="C28" i="40" s="1"/>
  <c r="C29" i="40" s="1"/>
  <c r="C30" i="40" s="1"/>
  <c r="C31" i="40" s="1"/>
  <c r="C32" i="40" s="1"/>
  <c r="C33" i="40" s="1"/>
  <c r="C34" i="40" s="1"/>
  <c r="C35" i="40" s="1"/>
  <c r="C36" i="40" s="1"/>
  <c r="C37" i="40" s="1"/>
  <c r="C38" i="40" s="1"/>
  <c r="C39" i="40" s="1"/>
  <c r="C40" i="40" s="1"/>
  <c r="C41" i="40" s="1"/>
  <c r="C42" i="40" s="1"/>
  <c r="C43" i="40" s="1"/>
  <c r="C44" i="40" s="1"/>
  <c r="C45" i="40" s="1"/>
  <c r="B17" i="40"/>
  <c r="K11" i="40"/>
  <c r="P84" i="40"/>
  <c r="N101" i="39"/>
  <c r="L101" i="39"/>
  <c r="M101" i="39" s="1"/>
  <c r="M19" i="39"/>
  <c r="K19" i="39"/>
  <c r="L19" i="39" s="1"/>
  <c r="N103" i="37"/>
  <c r="L103" i="37"/>
  <c r="M103" i="37" s="1"/>
  <c r="M21" i="37"/>
  <c r="K21" i="37"/>
  <c r="L21" i="37" s="1"/>
  <c r="N103" i="38"/>
  <c r="L103" i="38"/>
  <c r="M103" i="38" s="1"/>
  <c r="M21" i="38"/>
  <c r="K21" i="38"/>
  <c r="L21" i="38" s="1"/>
  <c r="N104" i="35"/>
  <c r="L104" i="35"/>
  <c r="M104" i="35" s="1"/>
  <c r="M22" i="35"/>
  <c r="K22" i="35"/>
  <c r="L22" i="35" s="1"/>
  <c r="N104" i="34"/>
  <c r="L104" i="34"/>
  <c r="M104" i="34" s="1"/>
  <c r="M22" i="34"/>
  <c r="K22" i="34"/>
  <c r="L22" i="34" s="1"/>
  <c r="N104" i="31"/>
  <c r="L104" i="31"/>
  <c r="M104" i="31" s="1"/>
  <c r="M22" i="31"/>
  <c r="K22" i="31"/>
  <c r="L22" i="31" s="1"/>
  <c r="N105" i="29"/>
  <c r="L105" i="29"/>
  <c r="M105" i="29" s="1"/>
  <c r="M23" i="29"/>
  <c r="K23" i="29"/>
  <c r="L23" i="29" s="1"/>
  <c r="N107" i="27"/>
  <c r="L107" i="27"/>
  <c r="M107" i="27" s="1"/>
  <c r="M25" i="27"/>
  <c r="K25" i="27"/>
  <c r="L25" i="27" s="1"/>
  <c r="N107" i="26"/>
  <c r="L107" i="26"/>
  <c r="M107" i="26" s="1"/>
  <c r="M25" i="26"/>
  <c r="K25" i="26"/>
  <c r="L25" i="26" s="1"/>
  <c r="N108" i="24"/>
  <c r="L108" i="24"/>
  <c r="M108" i="24" s="1"/>
  <c r="M26" i="24"/>
  <c r="K26" i="24"/>
  <c r="L26" i="24" s="1"/>
  <c r="N106" i="25"/>
  <c r="L106" i="25"/>
  <c r="M106" i="25" s="1"/>
  <c r="M24" i="25"/>
  <c r="K24" i="25"/>
  <c r="L24" i="25" s="1"/>
  <c r="N107" i="23"/>
  <c r="L107" i="23"/>
  <c r="M107" i="23" s="1"/>
  <c r="M25" i="23"/>
  <c r="K25" i="23"/>
  <c r="L25" i="23" s="1"/>
  <c r="N107" i="22"/>
  <c r="L107" i="22"/>
  <c r="M107" i="22" s="1"/>
  <c r="M25" i="22"/>
  <c r="K25" i="22"/>
  <c r="L25" i="22" s="1"/>
  <c r="N108" i="21"/>
  <c r="L108" i="21"/>
  <c r="M108" i="21" s="1"/>
  <c r="M26" i="21"/>
  <c r="K26" i="21"/>
  <c r="L26" i="21" s="1"/>
  <c r="N110" i="19"/>
  <c r="L110" i="19"/>
  <c r="M110" i="19" s="1"/>
  <c r="M28" i="19"/>
  <c r="K28" i="19"/>
  <c r="L28" i="19" s="1"/>
  <c r="N110" i="18"/>
  <c r="L110" i="18"/>
  <c r="M110" i="18" s="1"/>
  <c r="M28" i="18"/>
  <c r="K28" i="18"/>
  <c r="L28" i="18" s="1"/>
  <c r="N111" i="4"/>
  <c r="L111" i="4"/>
  <c r="M111" i="4" s="1"/>
  <c r="M29" i="4"/>
  <c r="K29" i="4"/>
  <c r="L29" i="4" s="1"/>
  <c r="N111" i="3"/>
  <c r="L111" i="3"/>
  <c r="M111" i="3" s="1"/>
  <c r="M29" i="3"/>
  <c r="K29" i="3"/>
  <c r="L29" i="3" s="1"/>
  <c r="P106" i="42" l="1"/>
  <c r="P111" i="40"/>
  <c r="O55" i="41"/>
  <c r="P117" i="41"/>
  <c r="O69" i="40"/>
  <c r="O17" i="41"/>
  <c r="O53" i="41"/>
  <c r="O59" i="41"/>
  <c r="P119" i="41"/>
  <c r="O24" i="41"/>
  <c r="O26" i="41"/>
  <c r="O28" i="41"/>
  <c r="O32" i="41"/>
  <c r="O58" i="41"/>
  <c r="O62" i="41"/>
  <c r="O70" i="41"/>
  <c r="P104" i="41"/>
  <c r="P106" i="41"/>
  <c r="P108" i="41"/>
  <c r="P110" i="41"/>
  <c r="P112" i="41"/>
  <c r="P114" i="41"/>
  <c r="O21" i="42"/>
  <c r="O23" i="42"/>
  <c r="O29" i="42"/>
  <c r="O31" i="42"/>
  <c r="O39" i="42"/>
  <c r="O47" i="42"/>
  <c r="O55" i="42"/>
  <c r="O61" i="42"/>
  <c r="O65" i="42"/>
  <c r="O71" i="42"/>
  <c r="O73" i="42"/>
  <c r="P111" i="42"/>
  <c r="P113" i="42"/>
  <c r="P123" i="42"/>
  <c r="P127" i="42"/>
  <c r="P131" i="42"/>
  <c r="O36" i="41"/>
  <c r="O48" i="41"/>
  <c r="P121" i="41"/>
  <c r="P123" i="41"/>
  <c r="P127" i="41"/>
  <c r="P131" i="41"/>
  <c r="O22" i="42"/>
  <c r="O24" i="42"/>
  <c r="O26" i="42"/>
  <c r="O28" i="42"/>
  <c r="O36" i="42"/>
  <c r="O38" i="42"/>
  <c r="O44" i="42"/>
  <c r="O46" i="42"/>
  <c r="O52" i="42"/>
  <c r="O54" i="42"/>
  <c r="O62" i="42"/>
  <c r="O66" i="42"/>
  <c r="O72" i="42"/>
  <c r="P102" i="42"/>
  <c r="P104" i="42"/>
  <c r="P108" i="42"/>
  <c r="P110" i="42"/>
  <c r="P112" i="42"/>
  <c r="P114" i="42"/>
  <c r="P116" i="42"/>
  <c r="P118" i="42"/>
  <c r="P120" i="42"/>
  <c r="O19" i="42"/>
  <c r="O25" i="42"/>
  <c r="O27" i="42"/>
  <c r="O33" i="42"/>
  <c r="O35" i="42"/>
  <c r="O41" i="42"/>
  <c r="O43" i="42"/>
  <c r="O49" i="42"/>
  <c r="O51" i="42"/>
  <c r="O59" i="42"/>
  <c r="O63" i="42"/>
  <c r="O67" i="42"/>
  <c r="P105" i="42"/>
  <c r="P107" i="42"/>
  <c r="P109" i="42"/>
  <c r="P115" i="42"/>
  <c r="P119" i="42"/>
  <c r="O29" i="41"/>
  <c r="O51" i="41"/>
  <c r="P115" i="41"/>
  <c r="P124" i="41"/>
  <c r="P126" i="41"/>
  <c r="P128" i="41"/>
  <c r="P130" i="41"/>
  <c r="P117" i="42"/>
  <c r="O42" i="41"/>
  <c r="O46" i="41"/>
  <c r="O52" i="41"/>
  <c r="O56" i="41"/>
  <c r="O64" i="41"/>
  <c r="O37" i="42"/>
  <c r="O40" i="42"/>
  <c r="O42" i="42"/>
  <c r="O53" i="42"/>
  <c r="O56" i="42"/>
  <c r="O58" i="42"/>
  <c r="O60" i="42"/>
  <c r="O68" i="42"/>
  <c r="O70" i="42"/>
  <c r="P103" i="42"/>
  <c r="O30" i="42"/>
  <c r="P128" i="42"/>
  <c r="O18" i="41"/>
  <c r="O33" i="41"/>
  <c r="O35" i="41"/>
  <c r="O37" i="41"/>
  <c r="O39" i="41"/>
  <c r="O43" i="41"/>
  <c r="O47" i="41"/>
  <c r="P116" i="41"/>
  <c r="P118" i="41"/>
  <c r="P125" i="41"/>
  <c r="O20" i="42"/>
  <c r="O32" i="42"/>
  <c r="O34" i="42"/>
  <c r="O45" i="42"/>
  <c r="O48" i="42"/>
  <c r="O50" i="42"/>
  <c r="O57" i="42"/>
  <c r="O64" i="42"/>
  <c r="O63" i="41"/>
  <c r="O71" i="41"/>
  <c r="O73" i="41"/>
  <c r="P120" i="41"/>
  <c r="P122" i="41"/>
  <c r="P129" i="41"/>
  <c r="C46" i="42"/>
  <c r="C47" i="42" s="1"/>
  <c r="C48" i="42" s="1"/>
  <c r="C49" i="42" s="1"/>
  <c r="C50" i="42" s="1"/>
  <c r="C51" i="42" s="1"/>
  <c r="C52" i="42" s="1"/>
  <c r="C53" i="42" s="1"/>
  <c r="C54" i="42" s="1"/>
  <c r="C55" i="42" s="1"/>
  <c r="C56" i="42" s="1"/>
  <c r="C57" i="42" s="1"/>
  <c r="C58" i="42" s="1"/>
  <c r="C59" i="42" s="1"/>
  <c r="C60" i="42" s="1"/>
  <c r="C61" i="42" s="1"/>
  <c r="C62" i="42" s="1"/>
  <c r="C63" i="42" s="1"/>
  <c r="C64" i="42" s="1"/>
  <c r="C65" i="42" s="1"/>
  <c r="C66" i="42" s="1"/>
  <c r="C67" i="42" s="1"/>
  <c r="C68" i="42" s="1"/>
  <c r="C69" i="42" s="1"/>
  <c r="C70" i="42" s="1"/>
  <c r="C71" i="42" s="1"/>
  <c r="C72" i="42" s="1"/>
  <c r="O28" i="40"/>
  <c r="O36" i="40"/>
  <c r="O40" i="40"/>
  <c r="O44" i="40"/>
  <c r="O50" i="40"/>
  <c r="O60" i="40"/>
  <c r="O25" i="41"/>
  <c r="O27" i="41"/>
  <c r="O34" i="41"/>
  <c r="O38" i="41"/>
  <c r="O40" i="41"/>
  <c r="O54" i="41"/>
  <c r="O72" i="41"/>
  <c r="P103" i="41"/>
  <c r="P105" i="41"/>
  <c r="P107" i="41"/>
  <c r="P109" i="41"/>
  <c r="P111" i="41"/>
  <c r="P113" i="41"/>
  <c r="O21" i="40"/>
  <c r="O25" i="40"/>
  <c r="O53" i="40"/>
  <c r="O22" i="41"/>
  <c r="O31" i="41"/>
  <c r="O44" i="41"/>
  <c r="O60" i="41"/>
  <c r="O67" i="41"/>
  <c r="O69" i="41"/>
  <c r="O21" i="41"/>
  <c r="O23" i="41"/>
  <c r="O30" i="41"/>
  <c r="O50" i="41"/>
  <c r="O57" i="41"/>
  <c r="O66" i="41"/>
  <c r="O68" i="41"/>
  <c r="C101" i="42"/>
  <c r="C102" i="42" s="1"/>
  <c r="C103" i="42" s="1"/>
  <c r="C104" i="42" s="1"/>
  <c r="C105" i="42" s="1"/>
  <c r="C106" i="42" s="1"/>
  <c r="C107" i="42" s="1"/>
  <c r="C108" i="42" s="1"/>
  <c r="C109" i="42" s="1"/>
  <c r="C110" i="42" s="1"/>
  <c r="C111" i="42" s="1"/>
  <c r="C112" i="42" s="1"/>
  <c r="C113" i="42" s="1"/>
  <c r="C114" i="42" s="1"/>
  <c r="C115" i="42" s="1"/>
  <c r="C116" i="42" s="1"/>
  <c r="C117" i="42" s="1"/>
  <c r="C118" i="42" s="1"/>
  <c r="C119" i="42" s="1"/>
  <c r="C120" i="42" s="1"/>
  <c r="C121" i="42" s="1"/>
  <c r="C122" i="42" s="1"/>
  <c r="C123" i="42" s="1"/>
  <c r="C124" i="42" s="1"/>
  <c r="C125" i="42" s="1"/>
  <c r="C126" i="42" s="1"/>
  <c r="C127" i="42" s="1"/>
  <c r="C128" i="42" s="1"/>
  <c r="C129" i="42" s="1"/>
  <c r="C130" i="42" s="1"/>
  <c r="C131" i="42" s="1"/>
  <c r="C132" i="42" s="1"/>
  <c r="C133" i="42" s="1"/>
  <c r="C134" i="42" s="1"/>
  <c r="C135" i="42" s="1"/>
  <c r="C136" i="42" s="1"/>
  <c r="C137" i="42" s="1"/>
  <c r="C138" i="42" s="1"/>
  <c r="C139" i="42" s="1"/>
  <c r="C140" i="42" s="1"/>
  <c r="C141" i="42" s="1"/>
  <c r="C142" i="42" s="1"/>
  <c r="C143" i="42" s="1"/>
  <c r="C144" i="42" s="1"/>
  <c r="C145" i="42" s="1"/>
  <c r="C146" i="42" s="1"/>
  <c r="C147" i="42" s="1"/>
  <c r="C148" i="42" s="1"/>
  <c r="C149" i="42" s="1"/>
  <c r="C150" i="42" s="1"/>
  <c r="C151" i="42" s="1"/>
  <c r="C152" i="42" s="1"/>
  <c r="C153" i="42" s="1"/>
  <c r="C154" i="42" s="1"/>
  <c r="C155" i="42" s="1"/>
  <c r="B100" i="42"/>
  <c r="O69" i="42"/>
  <c r="P124" i="42"/>
  <c r="P121" i="42"/>
  <c r="P125" i="42"/>
  <c r="P129" i="42"/>
  <c r="P122" i="42"/>
  <c r="P126" i="42"/>
  <c r="P130" i="42"/>
  <c r="C46" i="41"/>
  <c r="C47" i="41" s="1"/>
  <c r="C48" i="41" s="1"/>
  <c r="C49" i="41" s="1"/>
  <c r="C50" i="41" s="1"/>
  <c r="C51" i="41" s="1"/>
  <c r="C52" i="41" s="1"/>
  <c r="C53" i="41" s="1"/>
  <c r="C54" i="41" s="1"/>
  <c r="C55" i="41" s="1"/>
  <c r="C56" i="41" s="1"/>
  <c r="C57" i="41" s="1"/>
  <c r="C58" i="41" s="1"/>
  <c r="C59" i="41" s="1"/>
  <c r="C60" i="41" s="1"/>
  <c r="C61" i="41" s="1"/>
  <c r="C62" i="41" s="1"/>
  <c r="C63" i="41" s="1"/>
  <c r="C64" i="41" s="1"/>
  <c r="C65" i="41" s="1"/>
  <c r="C66" i="41" s="1"/>
  <c r="C67" i="41" s="1"/>
  <c r="C68" i="41" s="1"/>
  <c r="C69" i="41" s="1"/>
  <c r="C70" i="41" s="1"/>
  <c r="C71" i="41" s="1"/>
  <c r="C72" i="41" s="1"/>
  <c r="O65" i="40"/>
  <c r="O45" i="41"/>
  <c r="O61" i="41"/>
  <c r="O41" i="41"/>
  <c r="O49" i="41"/>
  <c r="O65" i="41"/>
  <c r="C100" i="41"/>
  <c r="O68" i="40"/>
  <c r="O72" i="40"/>
  <c r="P112" i="40"/>
  <c r="P116" i="40"/>
  <c r="O23" i="40"/>
  <c r="O29" i="40"/>
  <c r="O33" i="40"/>
  <c r="O55" i="40"/>
  <c r="O57" i="40"/>
  <c r="P119" i="40"/>
  <c r="O24" i="40"/>
  <c r="O35" i="40"/>
  <c r="O37" i="40"/>
  <c r="O41" i="40"/>
  <c r="O45" i="40"/>
  <c r="O49" i="40"/>
  <c r="P103" i="40"/>
  <c r="P118" i="40"/>
  <c r="O52" i="40"/>
  <c r="O61" i="40"/>
  <c r="P104" i="40"/>
  <c r="P106" i="40"/>
  <c r="P108" i="40"/>
  <c r="O47" i="40"/>
  <c r="P110" i="40"/>
  <c r="P113" i="40"/>
  <c r="P115" i="40"/>
  <c r="P122" i="40"/>
  <c r="P126" i="40"/>
  <c r="P128" i="40"/>
  <c r="O32" i="40"/>
  <c r="O42" i="40"/>
  <c r="O64" i="40"/>
  <c r="O39" i="40"/>
  <c r="O56" i="40"/>
  <c r="O66" i="40"/>
  <c r="O71" i="40"/>
  <c r="P105" i="40"/>
  <c r="P117" i="40"/>
  <c r="O27" i="40"/>
  <c r="O34" i="40"/>
  <c r="O17" i="40"/>
  <c r="O26" i="40"/>
  <c r="O31" i="40"/>
  <c r="O48" i="40"/>
  <c r="O58" i="40"/>
  <c r="O63" i="40"/>
  <c r="O73" i="40"/>
  <c r="P109" i="40"/>
  <c r="P114" i="40"/>
  <c r="C46" i="40"/>
  <c r="C47" i="40" s="1"/>
  <c r="C48" i="40" s="1"/>
  <c r="C49" i="40" s="1"/>
  <c r="C50" i="40" s="1"/>
  <c r="C51" i="40" s="1"/>
  <c r="C52" i="40" s="1"/>
  <c r="C53" i="40" s="1"/>
  <c r="C54" i="40" s="1"/>
  <c r="C55" i="40" s="1"/>
  <c r="C56" i="40" s="1"/>
  <c r="C57" i="40" s="1"/>
  <c r="C58" i="40" s="1"/>
  <c r="C59" i="40" s="1"/>
  <c r="C60" i="40" s="1"/>
  <c r="C61" i="40" s="1"/>
  <c r="C62" i="40" s="1"/>
  <c r="C63" i="40" s="1"/>
  <c r="C64" i="40" s="1"/>
  <c r="C65" i="40" s="1"/>
  <c r="C66" i="40" s="1"/>
  <c r="C67" i="40" s="1"/>
  <c r="C68" i="40" s="1"/>
  <c r="C69" i="40" s="1"/>
  <c r="C70" i="40" s="1"/>
  <c r="C71" i="40" s="1"/>
  <c r="C72" i="40" s="1"/>
  <c r="O22" i="40"/>
  <c r="O46" i="40"/>
  <c r="O38" i="40"/>
  <c r="O18" i="40"/>
  <c r="O30" i="40"/>
  <c r="O43" i="40"/>
  <c r="O51" i="40"/>
  <c r="O54" i="40"/>
  <c r="O59" i="40"/>
  <c r="O62" i="40"/>
  <c r="O67" i="40"/>
  <c r="O70" i="40"/>
  <c r="P107" i="40"/>
  <c r="P127" i="40"/>
  <c r="B100" i="40"/>
  <c r="C101" i="40"/>
  <c r="C102" i="40" s="1"/>
  <c r="C103" i="40" s="1"/>
  <c r="C104" i="40" s="1"/>
  <c r="C105" i="40" s="1"/>
  <c r="C106" i="40" s="1"/>
  <c r="C107" i="40" s="1"/>
  <c r="C108" i="40" s="1"/>
  <c r="C109" i="40" s="1"/>
  <c r="C110" i="40" s="1"/>
  <c r="C111" i="40" s="1"/>
  <c r="C112" i="40" s="1"/>
  <c r="C113" i="40" s="1"/>
  <c r="C114" i="40" s="1"/>
  <c r="C115" i="40" s="1"/>
  <c r="C116" i="40" s="1"/>
  <c r="C117" i="40" s="1"/>
  <c r="C118" i="40" s="1"/>
  <c r="C119" i="40" s="1"/>
  <c r="C120" i="40" s="1"/>
  <c r="C121" i="40" s="1"/>
  <c r="C122" i="40" s="1"/>
  <c r="C123" i="40" s="1"/>
  <c r="C124" i="40" s="1"/>
  <c r="C125" i="40" s="1"/>
  <c r="C126" i="40" s="1"/>
  <c r="C127" i="40" s="1"/>
  <c r="C128" i="40" s="1"/>
  <c r="C129" i="40" s="1"/>
  <c r="C130" i="40" s="1"/>
  <c r="C131" i="40" s="1"/>
  <c r="C132" i="40" s="1"/>
  <c r="C133" i="40" s="1"/>
  <c r="C134" i="40" s="1"/>
  <c r="C135" i="40" s="1"/>
  <c r="C136" i="40" s="1"/>
  <c r="C137" i="40" s="1"/>
  <c r="C138" i="40" s="1"/>
  <c r="C139" i="40" s="1"/>
  <c r="C140" i="40" s="1"/>
  <c r="C141" i="40" s="1"/>
  <c r="C142" i="40" s="1"/>
  <c r="C143" i="40" s="1"/>
  <c r="C144" i="40" s="1"/>
  <c r="C145" i="40" s="1"/>
  <c r="C146" i="40" s="1"/>
  <c r="C147" i="40" s="1"/>
  <c r="C148" i="40" s="1"/>
  <c r="C149" i="40" s="1"/>
  <c r="C150" i="40" s="1"/>
  <c r="C151" i="40" s="1"/>
  <c r="C152" i="40" s="1"/>
  <c r="C153" i="40" s="1"/>
  <c r="C154" i="40" s="1"/>
  <c r="C155" i="40" s="1"/>
  <c r="P123" i="40"/>
  <c r="P131" i="40"/>
  <c r="P120" i="40"/>
  <c r="P124" i="40"/>
  <c r="P130" i="40"/>
  <c r="P121" i="40"/>
  <c r="P125" i="40"/>
  <c r="P129" i="40"/>
  <c r="C101" i="41" l="1"/>
  <c r="C102" i="41" s="1"/>
  <c r="C103" i="41" s="1"/>
  <c r="C104" i="41" s="1"/>
  <c r="C105" i="41" s="1"/>
  <c r="C106" i="41" s="1"/>
  <c r="C107" i="41" s="1"/>
  <c r="C108" i="41" s="1"/>
  <c r="C109" i="41" s="1"/>
  <c r="C110" i="41" s="1"/>
  <c r="C111" i="41" s="1"/>
  <c r="C112" i="41" s="1"/>
  <c r="C113" i="41" s="1"/>
  <c r="C114" i="41" s="1"/>
  <c r="C115" i="41" s="1"/>
  <c r="C116" i="41" s="1"/>
  <c r="C117" i="41" s="1"/>
  <c r="C118" i="41" s="1"/>
  <c r="C119" i="41" s="1"/>
  <c r="C120" i="41" s="1"/>
  <c r="C121" i="41" s="1"/>
  <c r="C122" i="41" s="1"/>
  <c r="C123" i="41" s="1"/>
  <c r="C124" i="41" s="1"/>
  <c r="C125" i="41" s="1"/>
  <c r="C126" i="41" s="1"/>
  <c r="C127" i="41" s="1"/>
  <c r="C128" i="41" s="1"/>
  <c r="C129" i="41" s="1"/>
  <c r="C130" i="41" s="1"/>
  <c r="C131" i="41" s="1"/>
  <c r="C132" i="41" s="1"/>
  <c r="C133" i="41" s="1"/>
  <c r="C134" i="41" s="1"/>
  <c r="C135" i="41" s="1"/>
  <c r="C136" i="41" s="1"/>
  <c r="C137" i="41" s="1"/>
  <c r="C138" i="41" s="1"/>
  <c r="C139" i="41" s="1"/>
  <c r="C140" i="41" s="1"/>
  <c r="C141" i="41" s="1"/>
  <c r="C142" i="41" s="1"/>
  <c r="C143" i="41" s="1"/>
  <c r="C144" i="41" s="1"/>
  <c r="C145" i="41" s="1"/>
  <c r="C146" i="41" s="1"/>
  <c r="C147" i="41" s="1"/>
  <c r="C148" i="41" s="1"/>
  <c r="C149" i="41" s="1"/>
  <c r="C150" i="41" s="1"/>
  <c r="C151" i="41" s="1"/>
  <c r="C152" i="41" s="1"/>
  <c r="C153" i="41" s="1"/>
  <c r="C154" i="41" s="1"/>
  <c r="C155" i="41" s="1"/>
  <c r="B100" i="41"/>
  <c r="D101" i="42"/>
  <c r="E101" i="42" s="1"/>
  <c r="N101" i="27"/>
  <c r="L101" i="27"/>
  <c r="M101" i="27" s="1"/>
  <c r="B101" i="42" l="1"/>
  <c r="F101" i="42"/>
  <c r="B18" i="42"/>
  <c r="N102" i="37"/>
  <c r="L102" i="37"/>
  <c r="M102" i="37" s="1"/>
  <c r="N102" i="38"/>
  <c r="L102" i="38"/>
  <c r="M102" i="38" s="1"/>
  <c r="N103" i="35"/>
  <c r="L103" i="35"/>
  <c r="M103" i="35" s="1"/>
  <c r="N103" i="34"/>
  <c r="L103" i="34"/>
  <c r="M103" i="34" s="1"/>
  <c r="N103" i="31"/>
  <c r="L103" i="31"/>
  <c r="M103" i="31" s="1"/>
  <c r="N104" i="29"/>
  <c r="L104" i="29"/>
  <c r="M104" i="29" s="1"/>
  <c r="N106" i="27"/>
  <c r="L106" i="27"/>
  <c r="M106" i="27" s="1"/>
  <c r="N106" i="26"/>
  <c r="L106" i="26"/>
  <c r="M106" i="26" s="1"/>
  <c r="N107" i="24"/>
  <c r="L107" i="24"/>
  <c r="M107" i="24" s="1"/>
  <c r="N105" i="25"/>
  <c r="L105" i="25"/>
  <c r="M105" i="25" s="1"/>
  <c r="N106" i="23"/>
  <c r="L106" i="23"/>
  <c r="M106" i="23" s="1"/>
  <c r="N106" i="22"/>
  <c r="L106" i="22"/>
  <c r="M106" i="22" s="1"/>
  <c r="N107" i="21"/>
  <c r="L107" i="21"/>
  <c r="M107" i="21" s="1"/>
  <c r="N109" i="19"/>
  <c r="L109" i="19"/>
  <c r="M109" i="19" s="1"/>
  <c r="N109" i="18"/>
  <c r="L109" i="18"/>
  <c r="M109" i="18" s="1"/>
  <c r="N110" i="4"/>
  <c r="L110" i="4"/>
  <c r="M110" i="4" s="1"/>
  <c r="N110" i="3"/>
  <c r="L110" i="3"/>
  <c r="M110" i="3" s="1"/>
  <c r="M18" i="39"/>
  <c r="K18" i="39"/>
  <c r="L18" i="39" s="1"/>
  <c r="M20" i="37"/>
  <c r="K20" i="37"/>
  <c r="L20" i="37" s="1"/>
  <c r="M20" i="38"/>
  <c r="K20" i="38"/>
  <c r="L20" i="38" s="1"/>
  <c r="M21" i="35"/>
  <c r="K21" i="35"/>
  <c r="L21" i="35" s="1"/>
  <c r="M21" i="34"/>
  <c r="K21" i="34"/>
  <c r="L21" i="34" s="1"/>
  <c r="M21" i="31"/>
  <c r="K21" i="31"/>
  <c r="L21" i="31" s="1"/>
  <c r="M22" i="29"/>
  <c r="K22" i="29"/>
  <c r="L22" i="29" s="1"/>
  <c r="M24" i="27"/>
  <c r="K24" i="27"/>
  <c r="L24" i="27" s="1"/>
  <c r="M24" i="26"/>
  <c r="K24" i="26"/>
  <c r="L24" i="26" s="1"/>
  <c r="M25" i="24"/>
  <c r="K25" i="24"/>
  <c r="L25" i="24" s="1"/>
  <c r="M23" i="25"/>
  <c r="K23" i="25"/>
  <c r="L23" i="25" s="1"/>
  <c r="M24" i="23"/>
  <c r="K24" i="23"/>
  <c r="L24" i="23" s="1"/>
  <c r="M24" i="22"/>
  <c r="K24" i="22"/>
  <c r="L24" i="22" s="1"/>
  <c r="M25" i="21"/>
  <c r="K25" i="21"/>
  <c r="L25" i="21" s="1"/>
  <c r="M27" i="19"/>
  <c r="K27" i="19"/>
  <c r="L27" i="19" s="1"/>
  <c r="M27" i="18"/>
  <c r="K27" i="18"/>
  <c r="L27" i="18" s="1"/>
  <c r="M28" i="4"/>
  <c r="K28" i="4"/>
  <c r="L28" i="4" s="1"/>
  <c r="M28" i="3"/>
  <c r="K28" i="3"/>
  <c r="L28" i="3" s="1"/>
  <c r="D19" i="42" l="1"/>
  <c r="E19" i="42" s="1"/>
  <c r="D102" i="42"/>
  <c r="G101" i="42"/>
  <c r="B102" i="42" l="1"/>
  <c r="E102" i="42"/>
  <c r="F102" i="42" s="1"/>
  <c r="B19" i="42"/>
  <c r="F19" i="42"/>
  <c r="T14" i="17"/>
  <c r="D103" i="42" l="1"/>
  <c r="E103" i="42" s="1"/>
  <c r="G102" i="42"/>
  <c r="D20" i="42"/>
  <c r="E20" i="42" s="1"/>
  <c r="B103" i="42" l="1"/>
  <c r="F103" i="42"/>
  <c r="F20" i="42"/>
  <c r="B20" i="42"/>
  <c r="N101" i="38"/>
  <c r="L101" i="38"/>
  <c r="M101" i="38" s="1"/>
  <c r="M19" i="38"/>
  <c r="K19" i="38"/>
  <c r="L19" i="38" s="1"/>
  <c r="M19" i="37"/>
  <c r="K19" i="37"/>
  <c r="L19" i="37" s="1"/>
  <c r="M18" i="38"/>
  <c r="K18" i="38"/>
  <c r="L18" i="38" s="1"/>
  <c r="M20" i="31"/>
  <c r="K20" i="31"/>
  <c r="L20" i="31" s="1"/>
  <c r="M21" i="29"/>
  <c r="K21" i="29"/>
  <c r="L21" i="29" s="1"/>
  <c r="L23" i="28"/>
  <c r="L24" i="28"/>
  <c r="M22" i="28"/>
  <c r="K22" i="28"/>
  <c r="L22" i="28" s="1"/>
  <c r="M24" i="24"/>
  <c r="K24" i="24"/>
  <c r="L24" i="24" s="1"/>
  <c r="M22" i="25"/>
  <c r="K22" i="25"/>
  <c r="L22" i="25" s="1"/>
  <c r="M23" i="23"/>
  <c r="K23" i="23"/>
  <c r="L23" i="23" s="1"/>
  <c r="M23" i="22"/>
  <c r="K23" i="22"/>
  <c r="L23" i="22" s="1"/>
  <c r="M24" i="21"/>
  <c r="K24" i="21"/>
  <c r="L24" i="21" s="1"/>
  <c r="M26" i="19"/>
  <c r="K26" i="19"/>
  <c r="L26" i="19" s="1"/>
  <c r="M26" i="18"/>
  <c r="K26" i="18"/>
  <c r="L26" i="18" s="1"/>
  <c r="O110" i="4"/>
  <c r="D21" i="42" l="1"/>
  <c r="E21" i="42" s="1"/>
  <c r="D104" i="42"/>
  <c r="G103" i="42"/>
  <c r="I17" i="39"/>
  <c r="B104" i="42" l="1"/>
  <c r="E104" i="42"/>
  <c r="F104" i="42" s="1"/>
  <c r="B21" i="42"/>
  <c r="F21" i="42"/>
  <c r="N101" i="37"/>
  <c r="L101" i="37"/>
  <c r="M101" i="37" s="1"/>
  <c r="N102" i="35"/>
  <c r="L102" i="35"/>
  <c r="M102" i="35" s="1"/>
  <c r="N102" i="34"/>
  <c r="L102" i="34"/>
  <c r="M102" i="34" s="1"/>
  <c r="N102" i="31"/>
  <c r="L102" i="31"/>
  <c r="M102" i="31" s="1"/>
  <c r="N103" i="29"/>
  <c r="O103" i="29" s="1"/>
  <c r="L103" i="29"/>
  <c r="M103" i="29" s="1"/>
  <c r="N102" i="29"/>
  <c r="O102" i="29" s="1"/>
  <c r="L102" i="29"/>
  <c r="M102" i="29" s="1"/>
  <c r="N106" i="28"/>
  <c r="L106" i="28"/>
  <c r="M106" i="28" s="1"/>
  <c r="D105" i="42" l="1"/>
  <c r="E105" i="42" s="1"/>
  <c r="G104" i="42"/>
  <c r="D22" i="42"/>
  <c r="E22" i="42" s="1"/>
  <c r="P102" i="29"/>
  <c r="P103" i="29"/>
  <c r="N105" i="26"/>
  <c r="L105" i="26"/>
  <c r="M105" i="26" s="1"/>
  <c r="N106" i="24"/>
  <c r="O106" i="24" s="1"/>
  <c r="L106" i="24"/>
  <c r="M106" i="24" s="1"/>
  <c r="N104" i="25"/>
  <c r="L104" i="25"/>
  <c r="M104" i="25" s="1"/>
  <c r="N105" i="23"/>
  <c r="O105" i="23" s="1"/>
  <c r="L105" i="23"/>
  <c r="M105" i="23" s="1"/>
  <c r="N105" i="22"/>
  <c r="O105" i="22" s="1"/>
  <c r="L105" i="22"/>
  <c r="M105" i="22" s="1"/>
  <c r="N106" i="21"/>
  <c r="L106" i="21"/>
  <c r="M106" i="21" s="1"/>
  <c r="N108" i="19"/>
  <c r="L108" i="19"/>
  <c r="M108" i="19" s="1"/>
  <c r="N108" i="18"/>
  <c r="L108" i="18"/>
  <c r="M108" i="18" s="1"/>
  <c r="N109" i="4"/>
  <c r="O109" i="4" s="1"/>
  <c r="L109" i="4"/>
  <c r="M109" i="4" s="1"/>
  <c r="N109" i="3"/>
  <c r="L109" i="3"/>
  <c r="M109" i="3" s="1"/>
  <c r="B105" i="42" l="1"/>
  <c r="F105" i="42"/>
  <c r="F22" i="42"/>
  <c r="B22" i="42"/>
  <c r="P155" i="39"/>
  <c r="O155" i="39"/>
  <c r="M155" i="39"/>
  <c r="J155" i="39"/>
  <c r="P154" i="39"/>
  <c r="O154" i="39"/>
  <c r="M154" i="39"/>
  <c r="J154" i="39"/>
  <c r="P153" i="39"/>
  <c r="O153" i="39"/>
  <c r="M153" i="39"/>
  <c r="J153" i="39"/>
  <c r="P152" i="39"/>
  <c r="O152" i="39"/>
  <c r="M152" i="39"/>
  <c r="J152" i="39"/>
  <c r="P151" i="39"/>
  <c r="O151" i="39"/>
  <c r="M151" i="39"/>
  <c r="J151" i="39"/>
  <c r="P150" i="39"/>
  <c r="O150" i="39"/>
  <c r="M150" i="39"/>
  <c r="J150" i="39"/>
  <c r="P149" i="39"/>
  <c r="O149" i="39"/>
  <c r="M149" i="39"/>
  <c r="J149" i="39"/>
  <c r="P148" i="39"/>
  <c r="O148" i="39"/>
  <c r="M148" i="39"/>
  <c r="J148" i="39"/>
  <c r="P147" i="39"/>
  <c r="O147" i="39"/>
  <c r="M147" i="39"/>
  <c r="J147" i="39"/>
  <c r="P146" i="39"/>
  <c r="O146" i="39"/>
  <c r="M146" i="39"/>
  <c r="J146" i="39"/>
  <c r="P145" i="39"/>
  <c r="O145" i="39"/>
  <c r="M145" i="39"/>
  <c r="J145" i="39"/>
  <c r="P144" i="39"/>
  <c r="O144" i="39"/>
  <c r="M144" i="39"/>
  <c r="J144" i="39"/>
  <c r="P143" i="39"/>
  <c r="O143" i="39"/>
  <c r="M143" i="39"/>
  <c r="J143" i="39"/>
  <c r="P142" i="39"/>
  <c r="O142" i="39"/>
  <c r="M142" i="39"/>
  <c r="J142" i="39"/>
  <c r="P141" i="39"/>
  <c r="O141" i="39"/>
  <c r="M141" i="39"/>
  <c r="J141" i="39"/>
  <c r="P140" i="39"/>
  <c r="O140" i="39"/>
  <c r="M140" i="39"/>
  <c r="J140" i="39"/>
  <c r="P139" i="39"/>
  <c r="O139" i="39"/>
  <c r="M139" i="39"/>
  <c r="J139" i="39"/>
  <c r="P138" i="39"/>
  <c r="O138" i="39"/>
  <c r="M138" i="39"/>
  <c r="J138" i="39"/>
  <c r="P137" i="39"/>
  <c r="O137" i="39"/>
  <c r="M137" i="39"/>
  <c r="J137" i="39"/>
  <c r="P136" i="39"/>
  <c r="O136" i="39"/>
  <c r="M136" i="39"/>
  <c r="J136" i="39"/>
  <c r="P135" i="39"/>
  <c r="O135" i="39"/>
  <c r="M135" i="39"/>
  <c r="J135" i="39"/>
  <c r="P134" i="39"/>
  <c r="O134" i="39"/>
  <c r="M134" i="39"/>
  <c r="J134" i="39"/>
  <c r="P133" i="39"/>
  <c r="O133" i="39"/>
  <c r="M133" i="39"/>
  <c r="J133" i="39"/>
  <c r="P132" i="39"/>
  <c r="O132" i="39"/>
  <c r="M132" i="39"/>
  <c r="J132" i="39"/>
  <c r="O131" i="39"/>
  <c r="M131" i="39"/>
  <c r="O130" i="39"/>
  <c r="M130" i="39"/>
  <c r="O129" i="39"/>
  <c r="M129" i="39"/>
  <c r="O128" i="39"/>
  <c r="M128" i="39"/>
  <c r="O127" i="39"/>
  <c r="M127" i="39"/>
  <c r="O126" i="39"/>
  <c r="M126" i="39"/>
  <c r="O125" i="39"/>
  <c r="M125" i="39"/>
  <c r="O124" i="39"/>
  <c r="M124" i="39"/>
  <c r="O123" i="39"/>
  <c r="M123" i="39"/>
  <c r="O122" i="39"/>
  <c r="M122" i="39"/>
  <c r="O121" i="39"/>
  <c r="M121" i="39"/>
  <c r="O120" i="39"/>
  <c r="M120" i="39"/>
  <c r="O119" i="39"/>
  <c r="M119" i="39"/>
  <c r="O118" i="39"/>
  <c r="M118" i="39"/>
  <c r="O117" i="39"/>
  <c r="M117" i="39"/>
  <c r="O116" i="39"/>
  <c r="M116" i="39"/>
  <c r="O115" i="39"/>
  <c r="M115" i="39"/>
  <c r="O114" i="39"/>
  <c r="M114" i="39"/>
  <c r="O113" i="39"/>
  <c r="M113" i="39"/>
  <c r="O112" i="39"/>
  <c r="M112" i="39"/>
  <c r="O111" i="39"/>
  <c r="M111" i="39"/>
  <c r="O110" i="39"/>
  <c r="M110" i="39"/>
  <c r="O109" i="39"/>
  <c r="M109" i="39"/>
  <c r="O108" i="39"/>
  <c r="M108" i="39"/>
  <c r="O107" i="39"/>
  <c r="M107" i="39"/>
  <c r="O106" i="39"/>
  <c r="M106" i="39"/>
  <c r="O105" i="39"/>
  <c r="M105" i="39"/>
  <c r="O101" i="39"/>
  <c r="D97" i="39"/>
  <c r="D95" i="39"/>
  <c r="L94" i="39"/>
  <c r="J94" i="39"/>
  <c r="D94" i="39"/>
  <c r="J93" i="39"/>
  <c r="L87" i="39" s="1"/>
  <c r="D92" i="39"/>
  <c r="D91" i="39"/>
  <c r="D90" i="39"/>
  <c r="N73" i="39"/>
  <c r="L73" i="39"/>
  <c r="N72" i="39"/>
  <c r="L72" i="39"/>
  <c r="N71" i="39"/>
  <c r="L71" i="39"/>
  <c r="N70" i="39"/>
  <c r="L70" i="39"/>
  <c r="N69" i="39"/>
  <c r="L69" i="39"/>
  <c r="N68" i="39"/>
  <c r="L68" i="39"/>
  <c r="N67" i="39"/>
  <c r="L67" i="39"/>
  <c r="N66" i="39"/>
  <c r="L66" i="39"/>
  <c r="N65" i="39"/>
  <c r="L65" i="39"/>
  <c r="N64" i="39"/>
  <c r="L64" i="39"/>
  <c r="N63" i="39"/>
  <c r="L63" i="39"/>
  <c r="N62" i="39"/>
  <c r="L62" i="39"/>
  <c r="N61" i="39"/>
  <c r="L61" i="39"/>
  <c r="N60" i="39"/>
  <c r="L60" i="39"/>
  <c r="N59" i="39"/>
  <c r="L59" i="39"/>
  <c r="N58" i="39"/>
  <c r="L58" i="39"/>
  <c r="N57" i="39"/>
  <c r="L57" i="39"/>
  <c r="N56" i="39"/>
  <c r="L56" i="39"/>
  <c r="N55" i="39"/>
  <c r="L55" i="39"/>
  <c r="N54" i="39"/>
  <c r="L54" i="39"/>
  <c r="N53" i="39"/>
  <c r="L53" i="39"/>
  <c r="N52" i="39"/>
  <c r="L52" i="39"/>
  <c r="N51" i="39"/>
  <c r="L51" i="39"/>
  <c r="N50" i="39"/>
  <c r="L50" i="39"/>
  <c r="N49" i="39"/>
  <c r="L49" i="39"/>
  <c r="N48" i="39"/>
  <c r="L48" i="39"/>
  <c r="N47" i="39"/>
  <c r="L47" i="39"/>
  <c r="N46" i="39"/>
  <c r="L46" i="39"/>
  <c r="N45" i="39"/>
  <c r="L45" i="39"/>
  <c r="N44" i="39"/>
  <c r="L44" i="39"/>
  <c r="N43" i="39"/>
  <c r="L43" i="39"/>
  <c r="N42" i="39"/>
  <c r="L42" i="39"/>
  <c r="N41" i="39"/>
  <c r="L41" i="39"/>
  <c r="N40" i="39"/>
  <c r="L40" i="39"/>
  <c r="N39" i="39"/>
  <c r="L39" i="39"/>
  <c r="N38" i="39"/>
  <c r="L38" i="39"/>
  <c r="N37" i="39"/>
  <c r="L37" i="39"/>
  <c r="N36" i="39"/>
  <c r="L36" i="39"/>
  <c r="N35" i="39"/>
  <c r="L35" i="39"/>
  <c r="N34" i="39"/>
  <c r="L34" i="39"/>
  <c r="N33" i="39"/>
  <c r="L33" i="39"/>
  <c r="N32" i="39"/>
  <c r="L32" i="39"/>
  <c r="N31" i="39"/>
  <c r="L31" i="39"/>
  <c r="N30" i="39"/>
  <c r="L30" i="39"/>
  <c r="N29" i="39"/>
  <c r="L29" i="39"/>
  <c r="N28" i="39"/>
  <c r="L28" i="39"/>
  <c r="N27" i="39"/>
  <c r="L27" i="39"/>
  <c r="N26" i="39"/>
  <c r="L26" i="39"/>
  <c r="N25" i="39"/>
  <c r="L25" i="39"/>
  <c r="N24" i="39"/>
  <c r="L24" i="39"/>
  <c r="N23" i="39"/>
  <c r="L23" i="39"/>
  <c r="N20" i="39"/>
  <c r="N19" i="39"/>
  <c r="N18" i="39"/>
  <c r="B18" i="39"/>
  <c r="M17" i="39"/>
  <c r="N17" i="39" s="1"/>
  <c r="K17" i="39"/>
  <c r="L17" i="39" s="1"/>
  <c r="C17" i="39"/>
  <c r="C18" i="39" s="1"/>
  <c r="C19" i="39" s="1"/>
  <c r="C20" i="39" s="1"/>
  <c r="C21" i="39" s="1"/>
  <c r="C22" i="39" s="1"/>
  <c r="C23" i="39" s="1"/>
  <c r="C24" i="39" s="1"/>
  <c r="C25" i="39" s="1"/>
  <c r="C26" i="39" s="1"/>
  <c r="C27" i="39" s="1"/>
  <c r="C28" i="39" s="1"/>
  <c r="C29" i="39" s="1"/>
  <c r="C30" i="39" s="1"/>
  <c r="C31" i="39" s="1"/>
  <c r="C32" i="39" s="1"/>
  <c r="C33" i="39" s="1"/>
  <c r="C34" i="39" s="1"/>
  <c r="C35" i="39" s="1"/>
  <c r="C36" i="39" s="1"/>
  <c r="C37" i="39" s="1"/>
  <c r="C38" i="39" s="1"/>
  <c r="C39" i="39" s="1"/>
  <c r="C40" i="39" s="1"/>
  <c r="C41" i="39" s="1"/>
  <c r="C42" i="39" s="1"/>
  <c r="C43" i="39" s="1"/>
  <c r="C44" i="39" s="1"/>
  <c r="C45" i="39" s="1"/>
  <c r="B17" i="39"/>
  <c r="K11" i="39"/>
  <c r="I11" i="39"/>
  <c r="I10" i="39"/>
  <c r="P1" i="39"/>
  <c r="P84" i="39" s="1"/>
  <c r="D23" i="42" l="1"/>
  <c r="E23" i="42" s="1"/>
  <c r="D106" i="42"/>
  <c r="E106" i="42" s="1"/>
  <c r="G105" i="42"/>
  <c r="P109" i="39"/>
  <c r="O19" i="39"/>
  <c r="O37" i="39"/>
  <c r="O53" i="39"/>
  <c r="O69" i="39"/>
  <c r="O26" i="39"/>
  <c r="O28" i="39"/>
  <c r="O30" i="39"/>
  <c r="O32" i="39"/>
  <c r="O42" i="39"/>
  <c r="O44" i="39"/>
  <c r="O46" i="39"/>
  <c r="O48" i="39"/>
  <c r="O17" i="39"/>
  <c r="O33" i="39"/>
  <c r="O49" i="39"/>
  <c r="O23" i="39"/>
  <c r="O25" i="39"/>
  <c r="O29" i="39"/>
  <c r="O35" i="39"/>
  <c r="O58" i="39"/>
  <c r="O60" i="39"/>
  <c r="O62" i="39"/>
  <c r="O64" i="39"/>
  <c r="O39" i="39"/>
  <c r="O41" i="39"/>
  <c r="O45" i="39"/>
  <c r="O72" i="39"/>
  <c r="O55" i="39"/>
  <c r="O57" i="39"/>
  <c r="O61" i="39"/>
  <c r="O65" i="39"/>
  <c r="P106" i="39"/>
  <c r="P116" i="39"/>
  <c r="O18" i="39"/>
  <c r="O36" i="39"/>
  <c r="O43" i="39"/>
  <c r="O50" i="39"/>
  <c r="O66" i="39"/>
  <c r="O68" i="39"/>
  <c r="O73" i="39"/>
  <c r="O24" i="39"/>
  <c r="O31" i="39"/>
  <c r="O38" i="39"/>
  <c r="O40" i="39"/>
  <c r="O47" i="39"/>
  <c r="O56" i="39"/>
  <c r="O63" i="39"/>
  <c r="O70" i="39"/>
  <c r="O20" i="39"/>
  <c r="O27" i="39"/>
  <c r="O34" i="39"/>
  <c r="O52" i="39"/>
  <c r="P128" i="39"/>
  <c r="P112" i="39"/>
  <c r="P126" i="39"/>
  <c r="P107" i="39"/>
  <c r="P113" i="39"/>
  <c r="P115" i="39"/>
  <c r="P110" i="39"/>
  <c r="P119" i="39"/>
  <c r="P101" i="39"/>
  <c r="P114" i="39"/>
  <c r="P117" i="39"/>
  <c r="P111" i="39"/>
  <c r="P118" i="39"/>
  <c r="P123" i="39"/>
  <c r="P127" i="39"/>
  <c r="P129" i="39"/>
  <c r="P131" i="39"/>
  <c r="P105" i="39"/>
  <c r="P108" i="39"/>
  <c r="P130" i="39"/>
  <c r="N88" i="39"/>
  <c r="M88" i="39"/>
  <c r="N5" i="39"/>
  <c r="N6" i="39"/>
  <c r="C46" i="39"/>
  <c r="C47" i="39" s="1"/>
  <c r="C48" i="39" s="1"/>
  <c r="C49" i="39" s="1"/>
  <c r="C50" i="39" s="1"/>
  <c r="C51" i="39" s="1"/>
  <c r="C52" i="39" s="1"/>
  <c r="C53" i="39" s="1"/>
  <c r="C54" i="39" s="1"/>
  <c r="C55" i="39" s="1"/>
  <c r="C56" i="39" s="1"/>
  <c r="C57" i="39" s="1"/>
  <c r="C58" i="39" s="1"/>
  <c r="C59" i="39" s="1"/>
  <c r="C60" i="39" s="1"/>
  <c r="C61" i="39" s="1"/>
  <c r="C62" i="39" s="1"/>
  <c r="C63" i="39" s="1"/>
  <c r="C64" i="39" s="1"/>
  <c r="C65" i="39" s="1"/>
  <c r="C66" i="39" s="1"/>
  <c r="C67" i="39" s="1"/>
  <c r="C68" i="39" s="1"/>
  <c r="C69" i="39" s="1"/>
  <c r="C70" i="39" s="1"/>
  <c r="C71" i="39" s="1"/>
  <c r="C72" i="39" s="1"/>
  <c r="O67" i="39"/>
  <c r="O51" i="39"/>
  <c r="O54" i="39"/>
  <c r="O71" i="39"/>
  <c r="O59" i="39"/>
  <c r="C100" i="39"/>
  <c r="C101" i="39" s="1"/>
  <c r="C102" i="39" s="1"/>
  <c r="C103" i="39" s="1"/>
  <c r="C104" i="39" s="1"/>
  <c r="C105" i="39" s="1"/>
  <c r="C106" i="39" s="1"/>
  <c r="C107" i="39" s="1"/>
  <c r="C108" i="39" s="1"/>
  <c r="C109" i="39" s="1"/>
  <c r="C110" i="39" s="1"/>
  <c r="C111" i="39" s="1"/>
  <c r="C112" i="39" s="1"/>
  <c r="C113" i="39" s="1"/>
  <c r="C114" i="39" s="1"/>
  <c r="C115" i="39" s="1"/>
  <c r="C116" i="39" s="1"/>
  <c r="C117" i="39" s="1"/>
  <c r="C118" i="39" s="1"/>
  <c r="C119" i="39" s="1"/>
  <c r="C120" i="39" s="1"/>
  <c r="C121" i="39" s="1"/>
  <c r="C122" i="39" s="1"/>
  <c r="C123" i="39" s="1"/>
  <c r="C124" i="39" s="1"/>
  <c r="C125" i="39" s="1"/>
  <c r="C126" i="39" s="1"/>
  <c r="C127" i="39" s="1"/>
  <c r="B100" i="39"/>
  <c r="P120" i="39"/>
  <c r="P124" i="39"/>
  <c r="P121" i="39"/>
  <c r="P125" i="39"/>
  <c r="P122" i="39"/>
  <c r="F23" i="42" l="1"/>
  <c r="B23" i="42"/>
  <c r="F106" i="42"/>
  <c r="B106" i="42"/>
  <c r="O88" i="39"/>
  <c r="N7" i="39"/>
  <c r="C128" i="39"/>
  <c r="C129" i="39" s="1"/>
  <c r="C130" i="39" s="1"/>
  <c r="C131" i="39" s="1"/>
  <c r="C132" i="39" s="1"/>
  <c r="C133" i="39" s="1"/>
  <c r="C134" i="39" s="1"/>
  <c r="C135" i="39" s="1"/>
  <c r="C136" i="39" s="1"/>
  <c r="C137" i="39" s="1"/>
  <c r="C138" i="39" s="1"/>
  <c r="C139" i="39" s="1"/>
  <c r="C140" i="39" s="1"/>
  <c r="C141" i="39" s="1"/>
  <c r="C142" i="39" s="1"/>
  <c r="C143" i="39" s="1"/>
  <c r="C144" i="39" s="1"/>
  <c r="C145" i="39" s="1"/>
  <c r="C146" i="39" s="1"/>
  <c r="C147" i="39" s="1"/>
  <c r="C148" i="39" s="1"/>
  <c r="C149" i="39" s="1"/>
  <c r="C150" i="39" s="1"/>
  <c r="C151" i="39" s="1"/>
  <c r="C152" i="39" s="1"/>
  <c r="C153" i="39" s="1"/>
  <c r="C154" i="39" s="1"/>
  <c r="C155" i="39" s="1"/>
  <c r="D24" i="42" l="1"/>
  <c r="E24" i="42" s="1"/>
  <c r="D107" i="42"/>
  <c r="G106" i="42"/>
  <c r="O101" i="37"/>
  <c r="O102" i="37"/>
  <c r="B107" i="42" l="1"/>
  <c r="E107" i="42"/>
  <c r="F107" i="42" s="1"/>
  <c r="F24" i="42"/>
  <c r="B24" i="42"/>
  <c r="K26" i="3"/>
  <c r="L26" i="3" s="1"/>
  <c r="M22" i="22"/>
  <c r="N22" i="22" s="1"/>
  <c r="M22" i="23"/>
  <c r="N22" i="23" s="1"/>
  <c r="K23" i="27"/>
  <c r="L23" i="27" s="1"/>
  <c r="M23" i="27"/>
  <c r="N23" i="27" s="1"/>
  <c r="N101" i="35"/>
  <c r="O101" i="35" s="1"/>
  <c r="L101" i="35"/>
  <c r="M101" i="35" s="1"/>
  <c r="N101" i="34"/>
  <c r="O101" i="34" s="1"/>
  <c r="L101" i="34"/>
  <c r="M101" i="34" s="1"/>
  <c r="N101" i="31"/>
  <c r="O101" i="31" s="1"/>
  <c r="L101" i="31"/>
  <c r="M101" i="31" s="1"/>
  <c r="N101" i="29"/>
  <c r="O101" i="29" s="1"/>
  <c r="L101" i="29"/>
  <c r="M101" i="29" s="1"/>
  <c r="N105" i="28"/>
  <c r="O105" i="28" s="1"/>
  <c r="L105" i="28"/>
  <c r="M105" i="28" s="1"/>
  <c r="N105" i="27"/>
  <c r="O105" i="27" s="1"/>
  <c r="L105" i="27"/>
  <c r="M105" i="27" s="1"/>
  <c r="N104" i="26"/>
  <c r="O104" i="26" s="1"/>
  <c r="L104" i="26"/>
  <c r="M104" i="26" s="1"/>
  <c r="N105" i="24"/>
  <c r="O105" i="24" s="1"/>
  <c r="L105" i="24"/>
  <c r="M105" i="24" s="1"/>
  <c r="N103" i="25"/>
  <c r="O103" i="25" s="1"/>
  <c r="L103" i="25"/>
  <c r="M103" i="25" s="1"/>
  <c r="N104" i="23"/>
  <c r="O104" i="23" s="1"/>
  <c r="L104" i="23"/>
  <c r="M104" i="23" s="1"/>
  <c r="N104" i="22"/>
  <c r="O104" i="22" s="1"/>
  <c r="L104" i="22"/>
  <c r="M104" i="22" s="1"/>
  <c r="N105" i="21"/>
  <c r="O105" i="21" s="1"/>
  <c r="L105" i="21"/>
  <c r="M105" i="21" s="1"/>
  <c r="N107" i="19"/>
  <c r="O107" i="19" s="1"/>
  <c r="L107" i="19"/>
  <c r="M107" i="19" s="1"/>
  <c r="N107" i="18"/>
  <c r="O107" i="18" s="1"/>
  <c r="L107" i="18"/>
  <c r="M107" i="18" s="1"/>
  <c r="N108" i="4"/>
  <c r="O108" i="4" s="1"/>
  <c r="L108" i="4"/>
  <c r="M108" i="4" s="1"/>
  <c r="N108" i="3"/>
  <c r="O108" i="3" s="1"/>
  <c r="L108" i="3"/>
  <c r="M108" i="3" s="1"/>
  <c r="D108" i="42" l="1"/>
  <c r="E108" i="42" s="1"/>
  <c r="G107" i="42"/>
  <c r="D25" i="42"/>
  <c r="P108" i="3"/>
  <c r="P104" i="23"/>
  <c r="P101" i="31"/>
  <c r="P104" i="22"/>
  <c r="P104" i="26"/>
  <c r="P105" i="24"/>
  <c r="P105" i="28"/>
  <c r="P101" i="35"/>
  <c r="P107" i="19"/>
  <c r="P103" i="25"/>
  <c r="P101" i="34"/>
  <c r="P105" i="27"/>
  <c r="O23" i="27"/>
  <c r="P105" i="21"/>
  <c r="P101" i="29"/>
  <c r="P102" i="37"/>
  <c r="M26" i="3"/>
  <c r="N26" i="3" s="1"/>
  <c r="O26" i="3" s="1"/>
  <c r="M26" i="4"/>
  <c r="N26" i="4" s="1"/>
  <c r="M25" i="18"/>
  <c r="N25" i="18" s="1"/>
  <c r="M25" i="19"/>
  <c r="N25" i="19" s="1"/>
  <c r="M23" i="21"/>
  <c r="N23" i="21" s="1"/>
  <c r="K22" i="22"/>
  <c r="L22" i="22" s="1"/>
  <c r="O22" i="22" s="1"/>
  <c r="K22" i="23"/>
  <c r="L22" i="23" s="1"/>
  <c r="O22" i="23" s="1"/>
  <c r="M23" i="24"/>
  <c r="N23" i="24" s="1"/>
  <c r="M22" i="26"/>
  <c r="N22" i="26" s="1"/>
  <c r="K22" i="26"/>
  <c r="L22" i="26" s="1"/>
  <c r="M20" i="29"/>
  <c r="N20" i="29" s="1"/>
  <c r="K20" i="29"/>
  <c r="L20" i="29" s="1"/>
  <c r="M19" i="31"/>
  <c r="N19" i="31" s="1"/>
  <c r="K19" i="31"/>
  <c r="L19" i="31" s="1"/>
  <c r="M19" i="34"/>
  <c r="N19" i="34" s="1"/>
  <c r="M19" i="35"/>
  <c r="N19" i="35" s="1"/>
  <c r="M21" i="25"/>
  <c r="N21" i="25" s="1"/>
  <c r="P107" i="18"/>
  <c r="P108" i="4"/>
  <c r="B25" i="42" l="1"/>
  <c r="E25" i="42"/>
  <c r="F25" i="42" s="1"/>
  <c r="F108" i="42"/>
  <c r="B108" i="42"/>
  <c r="O19" i="31"/>
  <c r="O22" i="26"/>
  <c r="K26" i="4"/>
  <c r="L26" i="4" s="1"/>
  <c r="O26" i="4" s="1"/>
  <c r="K25" i="18"/>
  <c r="L25" i="18" s="1"/>
  <c r="O25" i="18" s="1"/>
  <c r="K25" i="19"/>
  <c r="L25" i="19" s="1"/>
  <c r="O25" i="19" s="1"/>
  <c r="K23" i="21"/>
  <c r="L23" i="21" s="1"/>
  <c r="O23" i="21" s="1"/>
  <c r="K23" i="24"/>
  <c r="L23" i="24" s="1"/>
  <c r="O23" i="24" s="1"/>
  <c r="O20" i="29"/>
  <c r="K19" i="34"/>
  <c r="L19" i="34" s="1"/>
  <c r="O19" i="34" s="1"/>
  <c r="K19" i="35"/>
  <c r="L19" i="35" s="1"/>
  <c r="O19" i="35" s="1"/>
  <c r="K21" i="25"/>
  <c r="L21" i="25" s="1"/>
  <c r="O21" i="25" s="1"/>
  <c r="D109" i="42" l="1"/>
  <c r="E109" i="42" s="1"/>
  <c r="G108" i="42"/>
  <c r="D26" i="42"/>
  <c r="E26" i="42" s="1"/>
  <c r="M17" i="38"/>
  <c r="K17" i="38"/>
  <c r="M18" i="37"/>
  <c r="K18" i="37"/>
  <c r="L18" i="37" s="1"/>
  <c r="I53" i="17"/>
  <c r="F26" i="42" l="1"/>
  <c r="B26" i="42"/>
  <c r="F109" i="42"/>
  <c r="B109" i="42"/>
  <c r="F12" i="1"/>
  <c r="I42" i="17"/>
  <c r="D53" i="17"/>
  <c r="I41" i="17"/>
  <c r="I43" i="17"/>
  <c r="D110" i="42" l="1"/>
  <c r="E110" i="42" s="1"/>
  <c r="G109" i="42"/>
  <c r="D27" i="42"/>
  <c r="W36" i="17"/>
  <c r="D42" i="17"/>
  <c r="D41" i="17"/>
  <c r="D39" i="17"/>
  <c r="D35" i="17"/>
  <c r="D30" i="17"/>
  <c r="D29" i="17"/>
  <c r="D40" i="17"/>
  <c r="D36" i="17"/>
  <c r="D31" i="17"/>
  <c r="D43" i="17"/>
  <c r="D32" i="17"/>
  <c r="D28" i="17"/>
  <c r="D34" i="17"/>
  <c r="D37" i="17"/>
  <c r="D38" i="17"/>
  <c r="D33" i="17"/>
  <c r="B27" i="42" l="1"/>
  <c r="E27" i="42"/>
  <c r="F27" i="42" s="1"/>
  <c r="F110" i="42"/>
  <c r="B110" i="42"/>
  <c r="D28" i="42" l="1"/>
  <c r="E28" i="42" s="1"/>
  <c r="D111" i="42"/>
  <c r="E111" i="42" s="1"/>
  <c r="G110" i="42"/>
  <c r="F58" i="2"/>
  <c r="C58" i="2"/>
  <c r="E34" i="2"/>
  <c r="C34" i="2"/>
  <c r="F28" i="42" l="1"/>
  <c r="B28" i="42"/>
  <c r="F111" i="42"/>
  <c r="B111" i="42"/>
  <c r="F81" i="2"/>
  <c r="J95" i="39" s="1"/>
  <c r="J96" i="39" s="1"/>
  <c r="C81" i="2"/>
  <c r="F75" i="2"/>
  <c r="C75" i="2"/>
  <c r="F47" i="2"/>
  <c r="F46" i="2"/>
  <c r="F45" i="2"/>
  <c r="F44" i="2"/>
  <c r="C47" i="2"/>
  <c r="C46" i="2"/>
  <c r="C45" i="2"/>
  <c r="C44" i="2"/>
  <c r="D112" i="42" l="1"/>
  <c r="E112" i="42" s="1"/>
  <c r="G111" i="42"/>
  <c r="D29" i="42"/>
  <c r="E29" i="42" s="1"/>
  <c r="F48" i="2"/>
  <c r="F52" i="2" s="1"/>
  <c r="P155" i="38"/>
  <c r="O155" i="38"/>
  <c r="M155" i="38"/>
  <c r="J155" i="38"/>
  <c r="P154" i="38"/>
  <c r="O154" i="38"/>
  <c r="M154" i="38"/>
  <c r="J154" i="38"/>
  <c r="P153" i="38"/>
  <c r="O153" i="38"/>
  <c r="M153" i="38"/>
  <c r="J153" i="38"/>
  <c r="P152" i="38"/>
  <c r="O152" i="38"/>
  <c r="M152" i="38"/>
  <c r="J152" i="38"/>
  <c r="P151" i="38"/>
  <c r="O151" i="38"/>
  <c r="M151" i="38"/>
  <c r="J151" i="38"/>
  <c r="P150" i="38"/>
  <c r="O150" i="38"/>
  <c r="M150" i="38"/>
  <c r="J150" i="38"/>
  <c r="P149" i="38"/>
  <c r="O149" i="38"/>
  <c r="M149" i="38"/>
  <c r="J149" i="38"/>
  <c r="P148" i="38"/>
  <c r="O148" i="38"/>
  <c r="M148" i="38"/>
  <c r="J148" i="38"/>
  <c r="P147" i="38"/>
  <c r="O147" i="38"/>
  <c r="M147" i="38"/>
  <c r="J147" i="38"/>
  <c r="P146" i="38"/>
  <c r="O146" i="38"/>
  <c r="M146" i="38"/>
  <c r="J146" i="38"/>
  <c r="P145" i="38"/>
  <c r="O145" i="38"/>
  <c r="M145" i="38"/>
  <c r="J145" i="38"/>
  <c r="P144" i="38"/>
  <c r="O144" i="38"/>
  <c r="M144" i="38"/>
  <c r="J144" i="38"/>
  <c r="P143" i="38"/>
  <c r="O143" i="38"/>
  <c r="M143" i="38"/>
  <c r="J143" i="38"/>
  <c r="P142" i="38"/>
  <c r="O142" i="38"/>
  <c r="M142" i="38"/>
  <c r="J142" i="38"/>
  <c r="P141" i="38"/>
  <c r="O141" i="38"/>
  <c r="M141" i="38"/>
  <c r="J141" i="38"/>
  <c r="P140" i="38"/>
  <c r="O140" i="38"/>
  <c r="M140" i="38"/>
  <c r="J140" i="38"/>
  <c r="P139" i="38"/>
  <c r="O139" i="38"/>
  <c r="M139" i="38"/>
  <c r="J139" i="38"/>
  <c r="P138" i="38"/>
  <c r="O138" i="38"/>
  <c r="M138" i="38"/>
  <c r="J138" i="38"/>
  <c r="P137" i="38"/>
  <c r="O137" i="38"/>
  <c r="M137" i="38"/>
  <c r="J137" i="38"/>
  <c r="P136" i="38"/>
  <c r="O136" i="38"/>
  <c r="M136" i="38"/>
  <c r="J136" i="38"/>
  <c r="P135" i="38"/>
  <c r="O135" i="38"/>
  <c r="M135" i="38"/>
  <c r="J135" i="38"/>
  <c r="P134" i="38"/>
  <c r="O134" i="38"/>
  <c r="M134" i="38"/>
  <c r="J134" i="38"/>
  <c r="P133" i="38"/>
  <c r="O133" i="38"/>
  <c r="M133" i="38"/>
  <c r="J133" i="38"/>
  <c r="P132" i="38"/>
  <c r="O132" i="38"/>
  <c r="M132" i="38"/>
  <c r="J132" i="38"/>
  <c r="O131" i="38"/>
  <c r="M131" i="38"/>
  <c r="O130" i="38"/>
  <c r="M130" i="38"/>
  <c r="O129" i="38"/>
  <c r="M129" i="38"/>
  <c r="O128" i="38"/>
  <c r="M128" i="38"/>
  <c r="O127" i="38"/>
  <c r="M127" i="38"/>
  <c r="O126" i="38"/>
  <c r="M126" i="38"/>
  <c r="O125" i="38"/>
  <c r="M125" i="38"/>
  <c r="O124" i="38"/>
  <c r="M124" i="38"/>
  <c r="O123" i="38"/>
  <c r="M123" i="38"/>
  <c r="O122" i="38"/>
  <c r="M122" i="38"/>
  <c r="O121" i="38"/>
  <c r="M121" i="38"/>
  <c r="O120" i="38"/>
  <c r="M120" i="38"/>
  <c r="O119" i="38"/>
  <c r="M119" i="38"/>
  <c r="O118" i="38"/>
  <c r="M118" i="38"/>
  <c r="O117" i="38"/>
  <c r="M117" i="38"/>
  <c r="O116" i="38"/>
  <c r="M116" i="38"/>
  <c r="O115" i="38"/>
  <c r="M115" i="38"/>
  <c r="O114" i="38"/>
  <c r="M114" i="38"/>
  <c r="O113" i="38"/>
  <c r="M113" i="38"/>
  <c r="O112" i="38"/>
  <c r="M112" i="38"/>
  <c r="O111" i="38"/>
  <c r="M111" i="38"/>
  <c r="O110" i="38"/>
  <c r="M110" i="38"/>
  <c r="O109" i="38"/>
  <c r="M109" i="38"/>
  <c r="O108" i="38"/>
  <c r="M108" i="38"/>
  <c r="O107" i="38"/>
  <c r="M107" i="38"/>
  <c r="O103" i="38"/>
  <c r="O102" i="38"/>
  <c r="O101" i="38"/>
  <c r="D97" i="38"/>
  <c r="D95" i="38"/>
  <c r="L94" i="38"/>
  <c r="J94" i="38"/>
  <c r="D94" i="38"/>
  <c r="C100" i="38" s="1"/>
  <c r="D92" i="38"/>
  <c r="D90" i="38"/>
  <c r="N73" i="38"/>
  <c r="L73" i="38"/>
  <c r="N72" i="38"/>
  <c r="L72" i="38"/>
  <c r="N71" i="38"/>
  <c r="L71" i="38"/>
  <c r="N70" i="38"/>
  <c r="L70" i="38"/>
  <c r="N69" i="38"/>
  <c r="L69" i="38"/>
  <c r="N68" i="38"/>
  <c r="L68" i="38"/>
  <c r="N67" i="38"/>
  <c r="L67" i="38"/>
  <c r="N66" i="38"/>
  <c r="L66" i="38"/>
  <c r="N65" i="38"/>
  <c r="L65" i="38"/>
  <c r="N64" i="38"/>
  <c r="L64" i="38"/>
  <c r="N63" i="38"/>
  <c r="L63" i="38"/>
  <c r="N62" i="38"/>
  <c r="L62" i="38"/>
  <c r="N61" i="38"/>
  <c r="L61" i="38"/>
  <c r="N60" i="38"/>
  <c r="L60" i="38"/>
  <c r="N59" i="38"/>
  <c r="L59" i="38"/>
  <c r="N58" i="38"/>
  <c r="L58" i="38"/>
  <c r="N57" i="38"/>
  <c r="L57" i="38"/>
  <c r="N56" i="38"/>
  <c r="L56" i="38"/>
  <c r="N55" i="38"/>
  <c r="L55" i="38"/>
  <c r="N54" i="38"/>
  <c r="L54" i="38"/>
  <c r="N53" i="38"/>
  <c r="L53" i="38"/>
  <c r="N52" i="38"/>
  <c r="L52" i="38"/>
  <c r="N51" i="38"/>
  <c r="L51" i="38"/>
  <c r="N50" i="38"/>
  <c r="L50" i="38"/>
  <c r="N49" i="38"/>
  <c r="L49" i="38"/>
  <c r="N48" i="38"/>
  <c r="L48" i="38"/>
  <c r="N47" i="38"/>
  <c r="L47" i="38"/>
  <c r="N46" i="38"/>
  <c r="L46" i="38"/>
  <c r="N45" i="38"/>
  <c r="L45" i="38"/>
  <c r="N44" i="38"/>
  <c r="L44" i="38"/>
  <c r="N43" i="38"/>
  <c r="L43" i="38"/>
  <c r="N42" i="38"/>
  <c r="L42" i="38"/>
  <c r="N41" i="38"/>
  <c r="L41" i="38"/>
  <c r="N40" i="38"/>
  <c r="L40" i="38"/>
  <c r="N39" i="38"/>
  <c r="L39" i="38"/>
  <c r="N38" i="38"/>
  <c r="L38" i="38"/>
  <c r="N37" i="38"/>
  <c r="L37" i="38"/>
  <c r="N36" i="38"/>
  <c r="L36" i="38"/>
  <c r="N35" i="38"/>
  <c r="L35" i="38"/>
  <c r="N34" i="38"/>
  <c r="L34" i="38"/>
  <c r="N33" i="38"/>
  <c r="L33" i="38"/>
  <c r="N32" i="38"/>
  <c r="L32" i="38"/>
  <c r="N31" i="38"/>
  <c r="L31" i="38"/>
  <c r="N30" i="38"/>
  <c r="L30" i="38"/>
  <c r="N29" i="38"/>
  <c r="L29" i="38"/>
  <c r="N28" i="38"/>
  <c r="L28" i="38"/>
  <c r="N27" i="38"/>
  <c r="L27" i="38"/>
  <c r="N26" i="38"/>
  <c r="L26" i="38"/>
  <c r="N25" i="38"/>
  <c r="L25" i="38"/>
  <c r="N22" i="38"/>
  <c r="N21" i="38"/>
  <c r="N20" i="38"/>
  <c r="N19" i="38"/>
  <c r="N18" i="38"/>
  <c r="N17" i="38"/>
  <c r="L17" i="38"/>
  <c r="C17" i="38"/>
  <c r="C18" i="38" s="1"/>
  <c r="C19" i="38" s="1"/>
  <c r="C20" i="38" s="1"/>
  <c r="C21" i="38" s="1"/>
  <c r="C22" i="38" s="1"/>
  <c r="C23" i="38" s="1"/>
  <c r="C24" i="38" s="1"/>
  <c r="C25" i="38" s="1"/>
  <c r="C26" i="38" s="1"/>
  <c r="C27" i="38" s="1"/>
  <c r="C28" i="38" s="1"/>
  <c r="C29" i="38" s="1"/>
  <c r="C30" i="38" s="1"/>
  <c r="C31" i="38" s="1"/>
  <c r="C32" i="38" s="1"/>
  <c r="C33" i="38" s="1"/>
  <c r="C34" i="38" s="1"/>
  <c r="C35" i="38" s="1"/>
  <c r="C36" i="38" s="1"/>
  <c r="C37" i="38" s="1"/>
  <c r="C38" i="38" s="1"/>
  <c r="C39" i="38" s="1"/>
  <c r="C40" i="38" s="1"/>
  <c r="C41" i="38" s="1"/>
  <c r="C42" i="38" s="1"/>
  <c r="C43" i="38" s="1"/>
  <c r="C44" i="38" s="1"/>
  <c r="C45" i="38" s="1"/>
  <c r="C46" i="38" s="1"/>
  <c r="C47" i="38" s="1"/>
  <c r="C48" i="38" s="1"/>
  <c r="C49" i="38" s="1"/>
  <c r="C50" i="38" s="1"/>
  <c r="C51" i="38" s="1"/>
  <c r="C52" i="38" s="1"/>
  <c r="C53" i="38" s="1"/>
  <c r="C54" i="38" s="1"/>
  <c r="C55" i="38" s="1"/>
  <c r="C56" i="38" s="1"/>
  <c r="C57" i="38" s="1"/>
  <c r="C58" i="38" s="1"/>
  <c r="C59" i="38" s="1"/>
  <c r="C60" i="38" s="1"/>
  <c r="C61" i="38" s="1"/>
  <c r="C62" i="38" s="1"/>
  <c r="C63" i="38" s="1"/>
  <c r="C64" i="38" s="1"/>
  <c r="C65" i="38" s="1"/>
  <c r="C66" i="38" s="1"/>
  <c r="C67" i="38" s="1"/>
  <c r="C68" i="38" s="1"/>
  <c r="C69" i="38" s="1"/>
  <c r="C70" i="38" s="1"/>
  <c r="C71" i="38" s="1"/>
  <c r="C72" i="38" s="1"/>
  <c r="B17" i="38"/>
  <c r="K11" i="38"/>
  <c r="I11" i="38"/>
  <c r="I10" i="38"/>
  <c r="D91" i="38"/>
  <c r="P1" i="38"/>
  <c r="P84" i="38" s="1"/>
  <c r="M17" i="37"/>
  <c r="N17" i="37" s="1"/>
  <c r="K17" i="37"/>
  <c r="L17" i="37" s="1"/>
  <c r="N100" i="35"/>
  <c r="O100" i="35" s="1"/>
  <c r="L100" i="35"/>
  <c r="M100" i="35" s="1"/>
  <c r="M18" i="35"/>
  <c r="N18" i="35" s="1"/>
  <c r="K18" i="35"/>
  <c r="L18" i="35" s="1"/>
  <c r="N100" i="34"/>
  <c r="O100" i="34" s="1"/>
  <c r="L100" i="34"/>
  <c r="M100" i="34" s="1"/>
  <c r="M18" i="34"/>
  <c r="N18" i="34" s="1"/>
  <c r="K18" i="34"/>
  <c r="L18" i="34" s="1"/>
  <c r="N100" i="31"/>
  <c r="O100" i="31" s="1"/>
  <c r="L100" i="31"/>
  <c r="M100" i="31" s="1"/>
  <c r="M18" i="31"/>
  <c r="N18" i="31" s="1"/>
  <c r="K18" i="31"/>
  <c r="L18" i="31" s="1"/>
  <c r="N100" i="29"/>
  <c r="O100" i="29" s="1"/>
  <c r="L100" i="29"/>
  <c r="M100" i="29" s="1"/>
  <c r="M19" i="29"/>
  <c r="N19" i="29" s="1"/>
  <c r="K19" i="29"/>
  <c r="L19" i="29" s="1"/>
  <c r="N104" i="28"/>
  <c r="O104" i="28" s="1"/>
  <c r="L104" i="28"/>
  <c r="M104" i="28" s="1"/>
  <c r="N22" i="28"/>
  <c r="N104" i="27"/>
  <c r="O104" i="27" s="1"/>
  <c r="L104" i="27"/>
  <c r="M104" i="27" s="1"/>
  <c r="M22" i="27"/>
  <c r="N22" i="27" s="1"/>
  <c r="K22" i="27"/>
  <c r="L22" i="27" s="1"/>
  <c r="N103" i="26"/>
  <c r="O103" i="26" s="1"/>
  <c r="L103" i="26"/>
  <c r="M103" i="26" s="1"/>
  <c r="M21" i="26"/>
  <c r="N21" i="26" s="1"/>
  <c r="K21" i="26"/>
  <c r="L21" i="26" s="1"/>
  <c r="N104" i="24"/>
  <c r="O104" i="24" s="1"/>
  <c r="L104" i="24"/>
  <c r="M104" i="24" s="1"/>
  <c r="M22" i="24"/>
  <c r="N22" i="24" s="1"/>
  <c r="K22" i="24"/>
  <c r="L22" i="24" s="1"/>
  <c r="N102" i="25"/>
  <c r="O102" i="25" s="1"/>
  <c r="L102" i="25"/>
  <c r="M102" i="25" s="1"/>
  <c r="M20" i="25"/>
  <c r="N20" i="25" s="1"/>
  <c r="K20" i="25"/>
  <c r="L20" i="25" s="1"/>
  <c r="N103" i="23"/>
  <c r="O103" i="23" s="1"/>
  <c r="L103" i="23"/>
  <c r="M103" i="23" s="1"/>
  <c r="M21" i="23"/>
  <c r="N21" i="23" s="1"/>
  <c r="K21" i="23"/>
  <c r="L21" i="23" s="1"/>
  <c r="N103" i="22"/>
  <c r="O103" i="22" s="1"/>
  <c r="L103" i="22"/>
  <c r="M103" i="22" s="1"/>
  <c r="M21" i="22"/>
  <c r="N21" i="22" s="1"/>
  <c r="K21" i="22"/>
  <c r="L21" i="22" s="1"/>
  <c r="N104" i="21"/>
  <c r="O104" i="21" s="1"/>
  <c r="L104" i="21"/>
  <c r="M104" i="21" s="1"/>
  <c r="M22" i="21"/>
  <c r="N22" i="21" s="1"/>
  <c r="K22" i="21"/>
  <c r="L22" i="21" s="1"/>
  <c r="N106" i="19"/>
  <c r="O106" i="19" s="1"/>
  <c r="L106" i="19"/>
  <c r="M106" i="19" s="1"/>
  <c r="M24" i="19"/>
  <c r="N24" i="19" s="1"/>
  <c r="K24" i="19"/>
  <c r="L24" i="19" s="1"/>
  <c r="N106" i="18"/>
  <c r="O106" i="18" s="1"/>
  <c r="L106" i="18"/>
  <c r="M106" i="18" s="1"/>
  <c r="M24" i="18"/>
  <c r="N24" i="18" s="1"/>
  <c r="K24" i="18"/>
  <c r="L24" i="18" s="1"/>
  <c r="N107" i="4"/>
  <c r="O107" i="4" s="1"/>
  <c r="L107" i="4"/>
  <c r="M107" i="4" s="1"/>
  <c r="M25" i="3"/>
  <c r="N25" i="3" s="1"/>
  <c r="K25" i="3"/>
  <c r="L25" i="3" s="1"/>
  <c r="N107" i="3"/>
  <c r="O107" i="3" s="1"/>
  <c r="L107" i="3"/>
  <c r="M107" i="3" s="1"/>
  <c r="M25" i="4"/>
  <c r="N25" i="4" s="1"/>
  <c r="K25" i="4"/>
  <c r="L25" i="4" s="1"/>
  <c r="M17" i="31"/>
  <c r="N17" i="31" s="1"/>
  <c r="K17" i="31"/>
  <c r="L17" i="31" s="1"/>
  <c r="M17" i="35"/>
  <c r="N17" i="35" s="1"/>
  <c r="K17" i="35"/>
  <c r="L17" i="35" s="1"/>
  <c r="M17" i="34"/>
  <c r="N17" i="34" s="1"/>
  <c r="K17" i="34"/>
  <c r="L17" i="34" s="1"/>
  <c r="C85" i="1"/>
  <c r="F82" i="1"/>
  <c r="C78" i="1"/>
  <c r="F72" i="1"/>
  <c r="C62" i="1"/>
  <c r="F44" i="1"/>
  <c r="C43" i="1"/>
  <c r="F42" i="1"/>
  <c r="C34" i="1"/>
  <c r="E31" i="1"/>
  <c r="C24" i="1"/>
  <c r="D18" i="1"/>
  <c r="I10" i="13"/>
  <c r="F56" i="1"/>
  <c r="C45" i="1"/>
  <c r="C56" i="1"/>
  <c r="C31" i="1"/>
  <c r="D19" i="1"/>
  <c r="C12" i="1"/>
  <c r="W35" i="17"/>
  <c r="D8" i="37"/>
  <c r="D91" i="37" s="1"/>
  <c r="P155" i="37"/>
  <c r="O155" i="37"/>
  <c r="M155" i="37"/>
  <c r="J155" i="37"/>
  <c r="P154" i="37"/>
  <c r="O154" i="37"/>
  <c r="M154" i="37"/>
  <c r="J154" i="37"/>
  <c r="P153" i="37"/>
  <c r="O153" i="37"/>
  <c r="M153" i="37"/>
  <c r="J153" i="37"/>
  <c r="P152" i="37"/>
  <c r="O152" i="37"/>
  <c r="M152" i="37"/>
  <c r="J152" i="37"/>
  <c r="P151" i="37"/>
  <c r="O151" i="37"/>
  <c r="M151" i="37"/>
  <c r="J151" i="37"/>
  <c r="P150" i="37"/>
  <c r="O150" i="37"/>
  <c r="M150" i="37"/>
  <c r="J150" i="37"/>
  <c r="P149" i="37"/>
  <c r="O149" i="37"/>
  <c r="M149" i="37"/>
  <c r="J149" i="37"/>
  <c r="P148" i="37"/>
  <c r="O148" i="37"/>
  <c r="M148" i="37"/>
  <c r="J148" i="37"/>
  <c r="P147" i="37"/>
  <c r="O147" i="37"/>
  <c r="M147" i="37"/>
  <c r="J147" i="37"/>
  <c r="P146" i="37"/>
  <c r="O146" i="37"/>
  <c r="M146" i="37"/>
  <c r="J146" i="37"/>
  <c r="P145" i="37"/>
  <c r="O145" i="37"/>
  <c r="M145" i="37"/>
  <c r="J145" i="37"/>
  <c r="P144" i="37"/>
  <c r="O144" i="37"/>
  <c r="M144" i="37"/>
  <c r="J144" i="37"/>
  <c r="P143" i="37"/>
  <c r="O143" i="37"/>
  <c r="M143" i="37"/>
  <c r="J143" i="37"/>
  <c r="P142" i="37"/>
  <c r="O142" i="37"/>
  <c r="M142" i="37"/>
  <c r="J142" i="37"/>
  <c r="P141" i="37"/>
  <c r="O141" i="37"/>
  <c r="M141" i="37"/>
  <c r="J141" i="37"/>
  <c r="P140" i="37"/>
  <c r="O140" i="37"/>
  <c r="M140" i="37"/>
  <c r="J140" i="37"/>
  <c r="P139" i="37"/>
  <c r="O139" i="37"/>
  <c r="M139" i="37"/>
  <c r="J139" i="37"/>
  <c r="P138" i="37"/>
  <c r="O138" i="37"/>
  <c r="M138" i="37"/>
  <c r="J138" i="37"/>
  <c r="P137" i="37"/>
  <c r="O137" i="37"/>
  <c r="M137" i="37"/>
  <c r="J137" i="37"/>
  <c r="P136" i="37"/>
  <c r="O136" i="37"/>
  <c r="M136" i="37"/>
  <c r="J136" i="37"/>
  <c r="P135" i="37"/>
  <c r="O135" i="37"/>
  <c r="M135" i="37"/>
  <c r="J135" i="37"/>
  <c r="P134" i="37"/>
  <c r="O134" i="37"/>
  <c r="M134" i="37"/>
  <c r="J134" i="37"/>
  <c r="P133" i="37"/>
  <c r="O133" i="37"/>
  <c r="M133" i="37"/>
  <c r="J133" i="37"/>
  <c r="P132" i="37"/>
  <c r="O132" i="37"/>
  <c r="M132" i="37"/>
  <c r="J132" i="37"/>
  <c r="O131" i="37"/>
  <c r="M131" i="37"/>
  <c r="O130" i="37"/>
  <c r="M130" i="37"/>
  <c r="O129" i="37"/>
  <c r="M129" i="37"/>
  <c r="O128" i="37"/>
  <c r="M128" i="37"/>
  <c r="O127" i="37"/>
  <c r="M127" i="37"/>
  <c r="O126" i="37"/>
  <c r="M126" i="37"/>
  <c r="O125" i="37"/>
  <c r="M125" i="37"/>
  <c r="O124" i="37"/>
  <c r="M124" i="37"/>
  <c r="O123" i="37"/>
  <c r="M123" i="37"/>
  <c r="O122" i="37"/>
  <c r="M122" i="37"/>
  <c r="O121" i="37"/>
  <c r="M121" i="37"/>
  <c r="O120" i="37"/>
  <c r="M120" i="37"/>
  <c r="O119" i="37"/>
  <c r="M119" i="37"/>
  <c r="O118" i="37"/>
  <c r="M118" i="37"/>
  <c r="O117" i="37"/>
  <c r="M117" i="37"/>
  <c r="O116" i="37"/>
  <c r="M116" i="37"/>
  <c r="O115" i="37"/>
  <c r="M115" i="37"/>
  <c r="O114" i="37"/>
  <c r="M114" i="37"/>
  <c r="O113" i="37"/>
  <c r="M113" i="37"/>
  <c r="O112" i="37"/>
  <c r="M112" i="37"/>
  <c r="O111" i="37"/>
  <c r="M111" i="37"/>
  <c r="O110" i="37"/>
  <c r="M110" i="37"/>
  <c r="O109" i="37"/>
  <c r="M109" i="37"/>
  <c r="O108" i="37"/>
  <c r="M108" i="37"/>
  <c r="O107" i="37"/>
  <c r="M107" i="37"/>
  <c r="O103" i="37"/>
  <c r="D97" i="37"/>
  <c r="D95" i="37"/>
  <c r="L94" i="37"/>
  <c r="J94" i="37"/>
  <c r="D94" i="37"/>
  <c r="C100" i="37" s="1"/>
  <c r="B100" i="37" s="1"/>
  <c r="D92" i="37"/>
  <c r="D90" i="37"/>
  <c r="N73" i="37"/>
  <c r="L73" i="37"/>
  <c r="N72" i="37"/>
  <c r="L72" i="37"/>
  <c r="N71" i="37"/>
  <c r="L71" i="37"/>
  <c r="N70" i="37"/>
  <c r="L70" i="37"/>
  <c r="N69" i="37"/>
  <c r="L69" i="37"/>
  <c r="N68" i="37"/>
  <c r="L68" i="37"/>
  <c r="N67" i="37"/>
  <c r="L67" i="37"/>
  <c r="N66" i="37"/>
  <c r="L66" i="37"/>
  <c r="N65" i="37"/>
  <c r="L65" i="37"/>
  <c r="N64" i="37"/>
  <c r="L64" i="37"/>
  <c r="N63" i="37"/>
  <c r="L63" i="37"/>
  <c r="N62" i="37"/>
  <c r="L62" i="37"/>
  <c r="N61" i="37"/>
  <c r="L61" i="37"/>
  <c r="N60" i="37"/>
  <c r="L60" i="37"/>
  <c r="N59" i="37"/>
  <c r="L59" i="37"/>
  <c r="N58" i="37"/>
  <c r="L58" i="37"/>
  <c r="N57" i="37"/>
  <c r="L57" i="37"/>
  <c r="N56" i="37"/>
  <c r="L56" i="37"/>
  <c r="N55" i="37"/>
  <c r="L55" i="37"/>
  <c r="N54" i="37"/>
  <c r="L54" i="37"/>
  <c r="N53" i="37"/>
  <c r="L53" i="37"/>
  <c r="N52" i="37"/>
  <c r="L52" i="37"/>
  <c r="N51" i="37"/>
  <c r="L51" i="37"/>
  <c r="N50" i="37"/>
  <c r="L50" i="37"/>
  <c r="N49" i="37"/>
  <c r="L49" i="37"/>
  <c r="N48" i="37"/>
  <c r="L48" i="37"/>
  <c r="N47" i="37"/>
  <c r="L47" i="37"/>
  <c r="N46" i="37"/>
  <c r="L46" i="37"/>
  <c r="N45" i="37"/>
  <c r="L45" i="37"/>
  <c r="N44" i="37"/>
  <c r="L44" i="37"/>
  <c r="N43" i="37"/>
  <c r="L43" i="37"/>
  <c r="N42" i="37"/>
  <c r="L42" i="37"/>
  <c r="N41" i="37"/>
  <c r="L41" i="37"/>
  <c r="N40" i="37"/>
  <c r="L40" i="37"/>
  <c r="N39" i="37"/>
  <c r="L39" i="37"/>
  <c r="N38" i="37"/>
  <c r="L38" i="37"/>
  <c r="N37" i="37"/>
  <c r="L37" i="37"/>
  <c r="N36" i="37"/>
  <c r="L36" i="37"/>
  <c r="N35" i="37"/>
  <c r="L35" i="37"/>
  <c r="N34" i="37"/>
  <c r="L34" i="37"/>
  <c r="N33" i="37"/>
  <c r="L33" i="37"/>
  <c r="N32" i="37"/>
  <c r="L32" i="37"/>
  <c r="N31" i="37"/>
  <c r="L31" i="37"/>
  <c r="N30" i="37"/>
  <c r="L30" i="37"/>
  <c r="N29" i="37"/>
  <c r="L29" i="37"/>
  <c r="N28" i="37"/>
  <c r="L28" i="37"/>
  <c r="N27" i="37"/>
  <c r="L27" i="37"/>
  <c r="N26" i="37"/>
  <c r="L26" i="37"/>
  <c r="N25" i="37"/>
  <c r="L25" i="37"/>
  <c r="N22" i="37"/>
  <c r="N21" i="37"/>
  <c r="N19" i="37"/>
  <c r="N18" i="37"/>
  <c r="C17" i="37"/>
  <c r="C18" i="37" s="1"/>
  <c r="C19" i="37" s="1"/>
  <c r="C20" i="37" s="1"/>
  <c r="C21" i="37" s="1"/>
  <c r="C22" i="37" s="1"/>
  <c r="C23" i="37" s="1"/>
  <c r="C24" i="37" s="1"/>
  <c r="C25" i="37" s="1"/>
  <c r="C26" i="37" s="1"/>
  <c r="C27" i="37" s="1"/>
  <c r="C28" i="37" s="1"/>
  <c r="C29" i="37" s="1"/>
  <c r="C30" i="37" s="1"/>
  <c r="C31" i="37" s="1"/>
  <c r="C32" i="37" s="1"/>
  <c r="C33" i="37" s="1"/>
  <c r="C34" i="37" s="1"/>
  <c r="C35" i="37" s="1"/>
  <c r="C36" i="37" s="1"/>
  <c r="C37" i="37" s="1"/>
  <c r="C38" i="37" s="1"/>
  <c r="C39" i="37" s="1"/>
  <c r="C40" i="37" s="1"/>
  <c r="C41" i="37" s="1"/>
  <c r="C42" i="37" s="1"/>
  <c r="C43" i="37" s="1"/>
  <c r="C44" i="37" s="1"/>
  <c r="C45" i="37" s="1"/>
  <c r="C46" i="37" s="1"/>
  <c r="C47" i="37" s="1"/>
  <c r="C48" i="37" s="1"/>
  <c r="C49" i="37" s="1"/>
  <c r="C50" i="37" s="1"/>
  <c r="C51" i="37" s="1"/>
  <c r="C52" i="37" s="1"/>
  <c r="C53" i="37" s="1"/>
  <c r="C54" i="37" s="1"/>
  <c r="C55" i="37" s="1"/>
  <c r="C56" i="37" s="1"/>
  <c r="C57" i="37" s="1"/>
  <c r="C58" i="37" s="1"/>
  <c r="C59" i="37" s="1"/>
  <c r="C60" i="37" s="1"/>
  <c r="C61" i="37" s="1"/>
  <c r="C62" i="37" s="1"/>
  <c r="C63" i="37" s="1"/>
  <c r="C64" i="37" s="1"/>
  <c r="C65" i="37" s="1"/>
  <c r="C66" i="37" s="1"/>
  <c r="C67" i="37" s="1"/>
  <c r="C68" i="37" s="1"/>
  <c r="C69" i="37" s="1"/>
  <c r="C70" i="37" s="1"/>
  <c r="C71" i="37" s="1"/>
  <c r="C72" i="37" s="1"/>
  <c r="B17" i="37"/>
  <c r="K11" i="37"/>
  <c r="I11" i="37"/>
  <c r="I10" i="37"/>
  <c r="P1" i="37"/>
  <c r="P84" i="37" s="1"/>
  <c r="M18" i="29"/>
  <c r="N18" i="29" s="1"/>
  <c r="K18" i="29"/>
  <c r="L18" i="29" s="1"/>
  <c r="N103" i="28"/>
  <c r="O103" i="28" s="1"/>
  <c r="L103" i="28"/>
  <c r="M103" i="28" s="1"/>
  <c r="M21" i="28"/>
  <c r="N21" i="28" s="1"/>
  <c r="K21" i="28"/>
  <c r="L21" i="28" s="1"/>
  <c r="N103" i="27"/>
  <c r="O103" i="27" s="1"/>
  <c r="L103" i="27"/>
  <c r="M103" i="27" s="1"/>
  <c r="M21" i="27"/>
  <c r="N21" i="27" s="1"/>
  <c r="K21" i="27"/>
  <c r="L21" i="27" s="1"/>
  <c r="N102" i="26"/>
  <c r="O102" i="26" s="1"/>
  <c r="L102" i="26"/>
  <c r="M102" i="26" s="1"/>
  <c r="M20" i="26"/>
  <c r="N20" i="26" s="1"/>
  <c r="K20" i="26"/>
  <c r="L20" i="26" s="1"/>
  <c r="N103" i="24"/>
  <c r="O103" i="24" s="1"/>
  <c r="L103" i="24"/>
  <c r="M103" i="24" s="1"/>
  <c r="M21" i="24"/>
  <c r="N21" i="24" s="1"/>
  <c r="K21" i="24"/>
  <c r="L21" i="24" s="1"/>
  <c r="N101" i="25"/>
  <c r="O101" i="25" s="1"/>
  <c r="L101" i="25"/>
  <c r="M101" i="25" s="1"/>
  <c r="M19" i="25"/>
  <c r="N19" i="25" s="1"/>
  <c r="K19" i="25"/>
  <c r="L19" i="25" s="1"/>
  <c r="N102" i="23"/>
  <c r="O102" i="23" s="1"/>
  <c r="L102" i="23"/>
  <c r="M102" i="23" s="1"/>
  <c r="M20" i="23"/>
  <c r="N20" i="23" s="1"/>
  <c r="K20" i="23"/>
  <c r="L20" i="23" s="1"/>
  <c r="N102" i="22"/>
  <c r="O102" i="22" s="1"/>
  <c r="L102" i="22"/>
  <c r="M102" i="22" s="1"/>
  <c r="M20" i="22"/>
  <c r="N20" i="22" s="1"/>
  <c r="K20" i="22"/>
  <c r="L20" i="22" s="1"/>
  <c r="I20" i="22"/>
  <c r="N103" i="21"/>
  <c r="O103" i="21" s="1"/>
  <c r="L103" i="21"/>
  <c r="M103" i="21" s="1"/>
  <c r="M21" i="21"/>
  <c r="N21" i="21" s="1"/>
  <c r="K21" i="21"/>
  <c r="L21" i="21" s="1"/>
  <c r="N105" i="19"/>
  <c r="O105" i="19" s="1"/>
  <c r="L105" i="19"/>
  <c r="M105" i="19" s="1"/>
  <c r="M23" i="19"/>
  <c r="N23" i="19" s="1"/>
  <c r="K23" i="19"/>
  <c r="L23" i="19" s="1"/>
  <c r="N105" i="18"/>
  <c r="O105" i="18" s="1"/>
  <c r="L105" i="18"/>
  <c r="M105" i="18" s="1"/>
  <c r="M23" i="18"/>
  <c r="N23" i="18" s="1"/>
  <c r="K23" i="18"/>
  <c r="L23" i="18" s="1"/>
  <c r="N106" i="4"/>
  <c r="O106" i="4" s="1"/>
  <c r="L106" i="4"/>
  <c r="M106" i="4" s="1"/>
  <c r="M24" i="4"/>
  <c r="N24" i="4" s="1"/>
  <c r="K24" i="4"/>
  <c r="L24" i="4" s="1"/>
  <c r="N106" i="3"/>
  <c r="O106" i="3" s="1"/>
  <c r="L106" i="3"/>
  <c r="M106" i="3" s="1"/>
  <c r="M24" i="3"/>
  <c r="N24" i="3" s="1"/>
  <c r="K24" i="3"/>
  <c r="L24" i="3" s="1"/>
  <c r="K17" i="29"/>
  <c r="L17" i="29" s="1"/>
  <c r="F66" i="2"/>
  <c r="C66" i="2"/>
  <c r="I10" i="35"/>
  <c r="I10" i="34"/>
  <c r="D95" i="34" s="1"/>
  <c r="I10" i="31"/>
  <c r="I10" i="28"/>
  <c r="I10" i="27"/>
  <c r="I10" i="24"/>
  <c r="I10" i="25"/>
  <c r="D95" i="25" s="1"/>
  <c r="I10" i="23"/>
  <c r="I10" i="21"/>
  <c r="I10" i="20"/>
  <c r="J97" i="20" s="1"/>
  <c r="I10" i="19"/>
  <c r="D95" i="19" s="1"/>
  <c r="I10" i="4"/>
  <c r="B106" i="4"/>
  <c r="I10" i="3"/>
  <c r="N73" i="13"/>
  <c r="L73" i="13"/>
  <c r="N72" i="13"/>
  <c r="L72" i="13"/>
  <c r="N73" i="35"/>
  <c r="L73" i="35"/>
  <c r="N72" i="35"/>
  <c r="L72" i="35"/>
  <c r="N73" i="34"/>
  <c r="L73" i="34"/>
  <c r="N72" i="34"/>
  <c r="L72" i="34"/>
  <c r="D95" i="13"/>
  <c r="D94" i="13"/>
  <c r="W32" i="17"/>
  <c r="W33" i="17"/>
  <c r="W34" i="17"/>
  <c r="O46" i="17"/>
  <c r="N46" i="17"/>
  <c r="P1" i="35"/>
  <c r="P84" i="35" s="1"/>
  <c r="P155" i="35"/>
  <c r="O155" i="35"/>
  <c r="M155" i="35"/>
  <c r="J155" i="35"/>
  <c r="P154" i="35"/>
  <c r="O154" i="35"/>
  <c r="M154" i="35"/>
  <c r="J154" i="35"/>
  <c r="P153" i="35"/>
  <c r="O153" i="35"/>
  <c r="M153" i="35"/>
  <c r="J153" i="35"/>
  <c r="P152" i="35"/>
  <c r="O152" i="35"/>
  <c r="M152" i="35"/>
  <c r="J152" i="35"/>
  <c r="P151" i="35"/>
  <c r="O151" i="35"/>
  <c r="M151" i="35"/>
  <c r="J151" i="35"/>
  <c r="P150" i="35"/>
  <c r="O150" i="35"/>
  <c r="M150" i="35"/>
  <c r="J150" i="35"/>
  <c r="P149" i="35"/>
  <c r="O149" i="35"/>
  <c r="M149" i="35"/>
  <c r="J149" i="35"/>
  <c r="P148" i="35"/>
  <c r="O148" i="35"/>
  <c r="M148" i="35"/>
  <c r="J148" i="35"/>
  <c r="P147" i="35"/>
  <c r="O147" i="35"/>
  <c r="M147" i="35"/>
  <c r="J147" i="35"/>
  <c r="P146" i="35"/>
  <c r="O146" i="35"/>
  <c r="M146" i="35"/>
  <c r="J146" i="35"/>
  <c r="P145" i="35"/>
  <c r="O145" i="35"/>
  <c r="M145" i="35"/>
  <c r="J145" i="35"/>
  <c r="P144" i="35"/>
  <c r="O144" i="35"/>
  <c r="M144" i="35"/>
  <c r="J144" i="35"/>
  <c r="P143" i="35"/>
  <c r="O143" i="35"/>
  <c r="M143" i="35"/>
  <c r="J143" i="35"/>
  <c r="P142" i="35"/>
  <c r="O142" i="35"/>
  <c r="M142" i="35"/>
  <c r="J142" i="35"/>
  <c r="P141" i="35"/>
  <c r="O141" i="35"/>
  <c r="M141" i="35"/>
  <c r="J141" i="35"/>
  <c r="P140" i="35"/>
  <c r="O140" i="35"/>
  <c r="M140" i="35"/>
  <c r="J140" i="35"/>
  <c r="P139" i="35"/>
  <c r="O139" i="35"/>
  <c r="M139" i="35"/>
  <c r="J139" i="35"/>
  <c r="P138" i="35"/>
  <c r="O138" i="35"/>
  <c r="M138" i="35"/>
  <c r="J138" i="35"/>
  <c r="P137" i="35"/>
  <c r="O137" i="35"/>
  <c r="M137" i="35"/>
  <c r="J137" i="35"/>
  <c r="P136" i="35"/>
  <c r="O136" i="35"/>
  <c r="M136" i="35"/>
  <c r="J136" i="35"/>
  <c r="P135" i="35"/>
  <c r="O135" i="35"/>
  <c r="M135" i="35"/>
  <c r="J135" i="35"/>
  <c r="P134" i="35"/>
  <c r="O134" i="35"/>
  <c r="M134" i="35"/>
  <c r="J134" i="35"/>
  <c r="P133" i="35"/>
  <c r="O133" i="35"/>
  <c r="M133" i="35"/>
  <c r="J133" i="35"/>
  <c r="P132" i="35"/>
  <c r="O132" i="35"/>
  <c r="M132" i="35"/>
  <c r="J132" i="35"/>
  <c r="O131" i="35"/>
  <c r="M131" i="35"/>
  <c r="O130" i="35"/>
  <c r="M130" i="35"/>
  <c r="O129" i="35"/>
  <c r="M129" i="35"/>
  <c r="O128" i="35"/>
  <c r="M128" i="35"/>
  <c r="O127" i="35"/>
  <c r="M127" i="35"/>
  <c r="O126" i="35"/>
  <c r="M126" i="35"/>
  <c r="O125" i="35"/>
  <c r="M125" i="35"/>
  <c r="O124" i="35"/>
  <c r="M124" i="35"/>
  <c r="O123" i="35"/>
  <c r="M123" i="35"/>
  <c r="O122" i="35"/>
  <c r="M122" i="35"/>
  <c r="O121" i="35"/>
  <c r="M121" i="35"/>
  <c r="O120" i="35"/>
  <c r="M120" i="35"/>
  <c r="O119" i="35"/>
  <c r="M119" i="35"/>
  <c r="O118" i="35"/>
  <c r="M118" i="35"/>
  <c r="O117" i="35"/>
  <c r="M117" i="35"/>
  <c r="O116" i="35"/>
  <c r="M116" i="35"/>
  <c r="O115" i="35"/>
  <c r="M115" i="35"/>
  <c r="O114" i="35"/>
  <c r="M114" i="35"/>
  <c r="O113" i="35"/>
  <c r="M113" i="35"/>
  <c r="O112" i="35"/>
  <c r="M112" i="35"/>
  <c r="O111" i="35"/>
  <c r="M111" i="35"/>
  <c r="O110" i="35"/>
  <c r="M110" i="35"/>
  <c r="O109" i="35"/>
  <c r="M109" i="35"/>
  <c r="O108" i="35"/>
  <c r="M108" i="35"/>
  <c r="O104" i="35"/>
  <c r="O103" i="35"/>
  <c r="O102" i="35"/>
  <c r="D97" i="35"/>
  <c r="L94" i="35"/>
  <c r="J94" i="35"/>
  <c r="D92" i="35"/>
  <c r="D90" i="35"/>
  <c r="N71" i="35"/>
  <c r="L71" i="35"/>
  <c r="N70" i="35"/>
  <c r="L70" i="35"/>
  <c r="N69" i="35"/>
  <c r="L69" i="35"/>
  <c r="N68" i="35"/>
  <c r="L68" i="35"/>
  <c r="N67" i="35"/>
  <c r="L67" i="35"/>
  <c r="N66" i="35"/>
  <c r="L66" i="35"/>
  <c r="N65" i="35"/>
  <c r="L65" i="35"/>
  <c r="N64" i="35"/>
  <c r="L64" i="35"/>
  <c r="N63" i="35"/>
  <c r="L63" i="35"/>
  <c r="N62" i="35"/>
  <c r="L62" i="35"/>
  <c r="N61" i="35"/>
  <c r="L61" i="35"/>
  <c r="N60" i="35"/>
  <c r="L60" i="35"/>
  <c r="N59" i="35"/>
  <c r="L59" i="35"/>
  <c r="N58" i="35"/>
  <c r="L58" i="35"/>
  <c r="N57" i="35"/>
  <c r="L57" i="35"/>
  <c r="N56" i="35"/>
  <c r="L56" i="35"/>
  <c r="N55" i="35"/>
  <c r="L55" i="35"/>
  <c r="N54" i="35"/>
  <c r="L54" i="35"/>
  <c r="N53" i="35"/>
  <c r="L53" i="35"/>
  <c r="N52" i="35"/>
  <c r="L52" i="35"/>
  <c r="N51" i="35"/>
  <c r="L51" i="35"/>
  <c r="N50" i="35"/>
  <c r="L50" i="35"/>
  <c r="N49" i="35"/>
  <c r="L49" i="35"/>
  <c r="N48" i="35"/>
  <c r="L48" i="35"/>
  <c r="N47" i="35"/>
  <c r="L47" i="35"/>
  <c r="N46" i="35"/>
  <c r="L46" i="35"/>
  <c r="N45" i="35"/>
  <c r="L45" i="35"/>
  <c r="N44" i="35"/>
  <c r="L44" i="35"/>
  <c r="N43" i="35"/>
  <c r="L43" i="35"/>
  <c r="N42" i="35"/>
  <c r="L42" i="35"/>
  <c r="N41" i="35"/>
  <c r="L41" i="35"/>
  <c r="N40" i="35"/>
  <c r="L40" i="35"/>
  <c r="N39" i="35"/>
  <c r="L39" i="35"/>
  <c r="N38" i="35"/>
  <c r="L38" i="35"/>
  <c r="N37" i="35"/>
  <c r="L37" i="35"/>
  <c r="N36" i="35"/>
  <c r="L36" i="35"/>
  <c r="N35" i="35"/>
  <c r="L35" i="35"/>
  <c r="N34" i="35"/>
  <c r="L34" i="35"/>
  <c r="N33" i="35"/>
  <c r="L33" i="35"/>
  <c r="N32" i="35"/>
  <c r="L32" i="35"/>
  <c r="N31" i="35"/>
  <c r="L31" i="35"/>
  <c r="N30" i="35"/>
  <c r="L30" i="35"/>
  <c r="N29" i="35"/>
  <c r="L29" i="35"/>
  <c r="N28" i="35"/>
  <c r="L28" i="35"/>
  <c r="N27" i="35"/>
  <c r="L27" i="35"/>
  <c r="N26" i="35"/>
  <c r="L26" i="35"/>
  <c r="N23" i="35"/>
  <c r="N22" i="35"/>
  <c r="N21" i="35"/>
  <c r="C17" i="35"/>
  <c r="C18" i="35" s="1"/>
  <c r="C19" i="35" s="1"/>
  <c r="C20" i="35" s="1"/>
  <c r="C21" i="35" s="1"/>
  <c r="C22" i="35" s="1"/>
  <c r="C23" i="35" s="1"/>
  <c r="C24" i="35" s="1"/>
  <c r="C25" i="35" s="1"/>
  <c r="C26" i="35" s="1"/>
  <c r="C27" i="35" s="1"/>
  <c r="C28" i="35" s="1"/>
  <c r="C29" i="35" s="1"/>
  <c r="C30" i="35" s="1"/>
  <c r="C31" i="35" s="1"/>
  <c r="C32" i="35" s="1"/>
  <c r="C33" i="35" s="1"/>
  <c r="C34" i="35" s="1"/>
  <c r="C35" i="35" s="1"/>
  <c r="C36" i="35" s="1"/>
  <c r="C37" i="35" s="1"/>
  <c r="C38" i="35" s="1"/>
  <c r="C39" i="35" s="1"/>
  <c r="C40" i="35" s="1"/>
  <c r="C41" i="35" s="1"/>
  <c r="C42" i="35" s="1"/>
  <c r="C43" i="35" s="1"/>
  <c r="C44" i="35" s="1"/>
  <c r="C45" i="35" s="1"/>
  <c r="C46" i="35" s="1"/>
  <c r="C47" i="35" s="1"/>
  <c r="C48" i="35" s="1"/>
  <c r="C49" i="35" s="1"/>
  <c r="C50" i="35" s="1"/>
  <c r="C51" i="35" s="1"/>
  <c r="C52" i="35" s="1"/>
  <c r="C53" i="35" s="1"/>
  <c r="C54" i="35" s="1"/>
  <c r="C55" i="35" s="1"/>
  <c r="C56" i="35" s="1"/>
  <c r="C57" i="35" s="1"/>
  <c r="C58" i="35" s="1"/>
  <c r="C59" i="35" s="1"/>
  <c r="C60" i="35" s="1"/>
  <c r="C61" i="35" s="1"/>
  <c r="C62" i="35" s="1"/>
  <c r="C63" i="35" s="1"/>
  <c r="C64" i="35" s="1"/>
  <c r="C65" i="35" s="1"/>
  <c r="C66" i="35" s="1"/>
  <c r="C67" i="35" s="1"/>
  <c r="C68" i="35" s="1"/>
  <c r="C69" i="35" s="1"/>
  <c r="C70" i="35" s="1"/>
  <c r="C71" i="35" s="1"/>
  <c r="C72" i="35" s="1"/>
  <c r="K11" i="35"/>
  <c r="I11" i="35"/>
  <c r="D8" i="35"/>
  <c r="D91" i="35" s="1"/>
  <c r="P1" i="34"/>
  <c r="P84" i="34" s="1"/>
  <c r="P155" i="34"/>
  <c r="O155" i="34"/>
  <c r="M155" i="34"/>
  <c r="J155" i="34"/>
  <c r="P154" i="34"/>
  <c r="O154" i="34"/>
  <c r="M154" i="34"/>
  <c r="J154" i="34"/>
  <c r="P153" i="34"/>
  <c r="O153" i="34"/>
  <c r="M153" i="34"/>
  <c r="J153" i="34"/>
  <c r="P152" i="34"/>
  <c r="O152" i="34"/>
  <c r="M152" i="34"/>
  <c r="J152" i="34"/>
  <c r="P151" i="34"/>
  <c r="O151" i="34"/>
  <c r="M151" i="34"/>
  <c r="J151" i="34"/>
  <c r="P150" i="34"/>
  <c r="O150" i="34"/>
  <c r="M150" i="34"/>
  <c r="J150" i="34"/>
  <c r="P149" i="34"/>
  <c r="O149" i="34"/>
  <c r="M149" i="34"/>
  <c r="J149" i="34"/>
  <c r="P148" i="34"/>
  <c r="O148" i="34"/>
  <c r="M148" i="34"/>
  <c r="J148" i="34"/>
  <c r="P147" i="34"/>
  <c r="O147" i="34"/>
  <c r="M147" i="34"/>
  <c r="J147" i="34"/>
  <c r="P146" i="34"/>
  <c r="O146" i="34"/>
  <c r="M146" i="34"/>
  <c r="J146" i="34"/>
  <c r="P145" i="34"/>
  <c r="O145" i="34"/>
  <c r="M145" i="34"/>
  <c r="J145" i="34"/>
  <c r="P144" i="34"/>
  <c r="O144" i="34"/>
  <c r="M144" i="34"/>
  <c r="J144" i="34"/>
  <c r="P143" i="34"/>
  <c r="O143" i="34"/>
  <c r="M143" i="34"/>
  <c r="J143" i="34"/>
  <c r="P142" i="34"/>
  <c r="O142" i="34"/>
  <c r="M142" i="34"/>
  <c r="J142" i="34"/>
  <c r="P141" i="34"/>
  <c r="O141" i="34"/>
  <c r="M141" i="34"/>
  <c r="J141" i="34"/>
  <c r="P140" i="34"/>
  <c r="O140" i="34"/>
  <c r="M140" i="34"/>
  <c r="J140" i="34"/>
  <c r="P139" i="34"/>
  <c r="O139" i="34"/>
  <c r="M139" i="34"/>
  <c r="J139" i="34"/>
  <c r="P138" i="34"/>
  <c r="O138" i="34"/>
  <c r="M138" i="34"/>
  <c r="J138" i="34"/>
  <c r="P137" i="34"/>
  <c r="O137" i="34"/>
  <c r="M137" i="34"/>
  <c r="J137" i="34"/>
  <c r="P136" i="34"/>
  <c r="O136" i="34"/>
  <c r="M136" i="34"/>
  <c r="J136" i="34"/>
  <c r="P135" i="34"/>
  <c r="O135" i="34"/>
  <c r="M135" i="34"/>
  <c r="J135" i="34"/>
  <c r="P134" i="34"/>
  <c r="O134" i="34"/>
  <c r="M134" i="34"/>
  <c r="J134" i="34"/>
  <c r="P133" i="34"/>
  <c r="O133" i="34"/>
  <c r="M133" i="34"/>
  <c r="J133" i="34"/>
  <c r="P132" i="34"/>
  <c r="O132" i="34"/>
  <c r="M132" i="34"/>
  <c r="J132" i="34"/>
  <c r="O131" i="34"/>
  <c r="M131" i="34"/>
  <c r="O130" i="34"/>
  <c r="M130" i="34"/>
  <c r="O129" i="34"/>
  <c r="M129" i="34"/>
  <c r="O128" i="34"/>
  <c r="M128" i="34"/>
  <c r="O127" i="34"/>
  <c r="M127" i="34"/>
  <c r="O126" i="34"/>
  <c r="M126" i="34"/>
  <c r="O125" i="34"/>
  <c r="M125" i="34"/>
  <c r="O124" i="34"/>
  <c r="M124" i="34"/>
  <c r="O123" i="34"/>
  <c r="M123" i="34"/>
  <c r="O122" i="34"/>
  <c r="M122" i="34"/>
  <c r="O121" i="34"/>
  <c r="M121" i="34"/>
  <c r="O120" i="34"/>
  <c r="M120" i="34"/>
  <c r="O119" i="34"/>
  <c r="M119" i="34"/>
  <c r="O118" i="34"/>
  <c r="M118" i="34"/>
  <c r="O117" i="34"/>
  <c r="M117" i="34"/>
  <c r="O116" i="34"/>
  <c r="M116" i="34"/>
  <c r="O115" i="34"/>
  <c r="M115" i="34"/>
  <c r="O114" i="34"/>
  <c r="M114" i="34"/>
  <c r="O113" i="34"/>
  <c r="M113" i="34"/>
  <c r="O112" i="34"/>
  <c r="M112" i="34"/>
  <c r="O111" i="34"/>
  <c r="M111" i="34"/>
  <c r="O110" i="34"/>
  <c r="M110" i="34"/>
  <c r="O109" i="34"/>
  <c r="M109" i="34"/>
  <c r="O108" i="34"/>
  <c r="M108" i="34"/>
  <c r="O104" i="34"/>
  <c r="O103" i="34"/>
  <c r="O102" i="34"/>
  <c r="D97" i="34"/>
  <c r="L94" i="34"/>
  <c r="J94" i="34"/>
  <c r="D92" i="34"/>
  <c r="D90" i="34"/>
  <c r="N71" i="34"/>
  <c r="L71" i="34"/>
  <c r="N70" i="34"/>
  <c r="L70" i="34"/>
  <c r="N69" i="34"/>
  <c r="L69" i="34"/>
  <c r="N68" i="34"/>
  <c r="L68" i="34"/>
  <c r="N67" i="34"/>
  <c r="L67" i="34"/>
  <c r="N66" i="34"/>
  <c r="L66" i="34"/>
  <c r="N65" i="34"/>
  <c r="L65" i="34"/>
  <c r="N64" i="34"/>
  <c r="L64" i="34"/>
  <c r="N63" i="34"/>
  <c r="L63" i="34"/>
  <c r="N62" i="34"/>
  <c r="L62" i="34"/>
  <c r="N61" i="34"/>
  <c r="L61" i="34"/>
  <c r="N60" i="34"/>
  <c r="L60" i="34"/>
  <c r="N59" i="34"/>
  <c r="L59" i="34"/>
  <c r="N58" i="34"/>
  <c r="L58" i="34"/>
  <c r="N57" i="34"/>
  <c r="L57" i="34"/>
  <c r="N56" i="34"/>
  <c r="L56" i="34"/>
  <c r="N55" i="34"/>
  <c r="L55" i="34"/>
  <c r="N54" i="34"/>
  <c r="L54" i="34"/>
  <c r="N53" i="34"/>
  <c r="L53" i="34"/>
  <c r="N52" i="34"/>
  <c r="L52" i="34"/>
  <c r="N51" i="34"/>
  <c r="L51" i="34"/>
  <c r="N50" i="34"/>
  <c r="L50" i="34"/>
  <c r="N49" i="34"/>
  <c r="L49" i="34"/>
  <c r="N48" i="34"/>
  <c r="L48" i="34"/>
  <c r="N47" i="34"/>
  <c r="L47" i="34"/>
  <c r="N46" i="34"/>
  <c r="L46" i="34"/>
  <c r="N45" i="34"/>
  <c r="L45" i="34"/>
  <c r="N44" i="34"/>
  <c r="L44" i="34"/>
  <c r="N43" i="34"/>
  <c r="L43" i="34"/>
  <c r="N42" i="34"/>
  <c r="L42" i="34"/>
  <c r="N41" i="34"/>
  <c r="L41" i="34"/>
  <c r="N40" i="34"/>
  <c r="L40" i="34"/>
  <c r="N39" i="34"/>
  <c r="L39" i="34"/>
  <c r="N38" i="34"/>
  <c r="L38" i="34"/>
  <c r="N37" i="34"/>
  <c r="L37" i="34"/>
  <c r="N36" i="34"/>
  <c r="L36" i="34"/>
  <c r="N35" i="34"/>
  <c r="L35" i="34"/>
  <c r="N34" i="34"/>
  <c r="L34" i="34"/>
  <c r="N33" i="34"/>
  <c r="L33" i="34"/>
  <c r="N32" i="34"/>
  <c r="L32" i="34"/>
  <c r="N31" i="34"/>
  <c r="L31" i="34"/>
  <c r="N30" i="34"/>
  <c r="L30" i="34"/>
  <c r="N29" i="34"/>
  <c r="L29" i="34"/>
  <c r="N28" i="34"/>
  <c r="L28" i="34"/>
  <c r="N27" i="34"/>
  <c r="L27" i="34"/>
  <c r="N26" i="34"/>
  <c r="L26" i="34"/>
  <c r="N23" i="34"/>
  <c r="N22" i="34"/>
  <c r="N21" i="34"/>
  <c r="C17" i="34"/>
  <c r="C18" i="34" s="1"/>
  <c r="C19" i="34" s="1"/>
  <c r="C20" i="34" s="1"/>
  <c r="C21" i="34" s="1"/>
  <c r="C22" i="34" s="1"/>
  <c r="C23" i="34" s="1"/>
  <c r="C24" i="34" s="1"/>
  <c r="C25" i="34" s="1"/>
  <c r="C26" i="34" s="1"/>
  <c r="C27" i="34" s="1"/>
  <c r="C28" i="34" s="1"/>
  <c r="C29" i="34" s="1"/>
  <c r="C30" i="34" s="1"/>
  <c r="C31" i="34" s="1"/>
  <c r="C32" i="34" s="1"/>
  <c r="C33" i="34" s="1"/>
  <c r="C34" i="34" s="1"/>
  <c r="C35" i="34" s="1"/>
  <c r="C36" i="34" s="1"/>
  <c r="C37" i="34" s="1"/>
  <c r="C38" i="34" s="1"/>
  <c r="C39" i="34" s="1"/>
  <c r="C40" i="34" s="1"/>
  <c r="C41" i="34" s="1"/>
  <c r="C42" i="34" s="1"/>
  <c r="C43" i="34" s="1"/>
  <c r="C44" i="34" s="1"/>
  <c r="C45" i="34" s="1"/>
  <c r="C46" i="34" s="1"/>
  <c r="C47" i="34" s="1"/>
  <c r="C48" i="34" s="1"/>
  <c r="C49" i="34" s="1"/>
  <c r="C50" i="34" s="1"/>
  <c r="C51" i="34" s="1"/>
  <c r="C52" i="34" s="1"/>
  <c r="C53" i="34" s="1"/>
  <c r="C54" i="34" s="1"/>
  <c r="C55" i="34" s="1"/>
  <c r="C56" i="34" s="1"/>
  <c r="C57" i="34" s="1"/>
  <c r="C58" i="34" s="1"/>
  <c r="C59" i="34" s="1"/>
  <c r="C60" i="34" s="1"/>
  <c r="C61" i="34" s="1"/>
  <c r="C62" i="34" s="1"/>
  <c r="C63" i="34" s="1"/>
  <c r="C64" i="34" s="1"/>
  <c r="C65" i="34" s="1"/>
  <c r="C66" i="34" s="1"/>
  <c r="C67" i="34" s="1"/>
  <c r="C68" i="34" s="1"/>
  <c r="C69" i="34" s="1"/>
  <c r="C70" i="34" s="1"/>
  <c r="C71" i="34" s="1"/>
  <c r="C72" i="34" s="1"/>
  <c r="B17" i="34"/>
  <c r="K11" i="34"/>
  <c r="I11" i="34"/>
  <c r="D8" i="34"/>
  <c r="D91" i="34" s="1"/>
  <c r="B21" i="28"/>
  <c r="B22" i="19"/>
  <c r="N102" i="28"/>
  <c r="O102" i="28" s="1"/>
  <c r="L102" i="28"/>
  <c r="M102" i="28" s="1"/>
  <c r="N102" i="27"/>
  <c r="O102" i="27" s="1"/>
  <c r="L102" i="27"/>
  <c r="M102" i="27" s="1"/>
  <c r="N101" i="26"/>
  <c r="O101" i="26" s="1"/>
  <c r="L101" i="26"/>
  <c r="M101" i="26" s="1"/>
  <c r="N102" i="24"/>
  <c r="O102" i="24" s="1"/>
  <c r="L102" i="24"/>
  <c r="M102" i="24" s="1"/>
  <c r="N100" i="25"/>
  <c r="O100" i="25" s="1"/>
  <c r="L100" i="25"/>
  <c r="M100" i="25" s="1"/>
  <c r="L101" i="23"/>
  <c r="M101" i="23" s="1"/>
  <c r="N101" i="23"/>
  <c r="O101" i="23" s="1"/>
  <c r="L101" i="22"/>
  <c r="M101" i="22" s="1"/>
  <c r="N101" i="22"/>
  <c r="O101" i="22" s="1"/>
  <c r="L102" i="21"/>
  <c r="M102" i="21" s="1"/>
  <c r="N102" i="21"/>
  <c r="O102" i="21" s="1"/>
  <c r="L104" i="19"/>
  <c r="M104" i="19" s="1"/>
  <c r="N104" i="19"/>
  <c r="O104" i="19" s="1"/>
  <c r="L104" i="18"/>
  <c r="M104" i="18" s="1"/>
  <c r="N104" i="18"/>
  <c r="O104" i="18" s="1"/>
  <c r="L105" i="3"/>
  <c r="M105" i="3" s="1"/>
  <c r="N105" i="3"/>
  <c r="O105" i="3" s="1"/>
  <c r="M17" i="29"/>
  <c r="N17" i="29" s="1"/>
  <c r="K20" i="28"/>
  <c r="L20" i="28" s="1"/>
  <c r="M20" i="28"/>
  <c r="N20" i="28" s="1"/>
  <c r="K20" i="27"/>
  <c r="L20" i="27" s="1"/>
  <c r="M20" i="27"/>
  <c r="N20" i="27" s="1"/>
  <c r="K19" i="26"/>
  <c r="L19" i="26" s="1"/>
  <c r="M19" i="26"/>
  <c r="N19" i="26" s="1"/>
  <c r="K20" i="24"/>
  <c r="L20" i="24" s="1"/>
  <c r="M20" i="24"/>
  <c r="N20" i="24" s="1"/>
  <c r="K18" i="25"/>
  <c r="L18" i="25" s="1"/>
  <c r="M18" i="25"/>
  <c r="N18" i="25" s="1"/>
  <c r="K19" i="23"/>
  <c r="L19" i="23" s="1"/>
  <c r="M19" i="23"/>
  <c r="N19" i="23" s="1"/>
  <c r="K19" i="22"/>
  <c r="L19" i="22" s="1"/>
  <c r="M19" i="22"/>
  <c r="N19" i="22" s="1"/>
  <c r="K20" i="21"/>
  <c r="L20" i="21" s="1"/>
  <c r="M20" i="21"/>
  <c r="N20" i="21" s="1"/>
  <c r="K22" i="19"/>
  <c r="L22" i="19" s="1"/>
  <c r="M22" i="19"/>
  <c r="N22" i="19" s="1"/>
  <c r="K22" i="18"/>
  <c r="L22" i="18" s="1"/>
  <c r="M22" i="18"/>
  <c r="N22" i="18" s="1"/>
  <c r="K23" i="4"/>
  <c r="L23" i="4" s="1"/>
  <c r="M23" i="4"/>
  <c r="N23" i="4" s="1"/>
  <c r="K23" i="3"/>
  <c r="L23" i="3" s="1"/>
  <c r="M23" i="3"/>
  <c r="N23" i="3" s="1"/>
  <c r="L32" i="29"/>
  <c r="N32" i="29"/>
  <c r="L33" i="29"/>
  <c r="N33" i="29"/>
  <c r="L32" i="28"/>
  <c r="N32" i="28"/>
  <c r="L33" i="28"/>
  <c r="N33" i="28"/>
  <c r="L32" i="27"/>
  <c r="N32" i="27"/>
  <c r="L33" i="27"/>
  <c r="N33" i="27"/>
  <c r="L32" i="26"/>
  <c r="N32" i="26"/>
  <c r="L33" i="26"/>
  <c r="N33" i="26"/>
  <c r="L32" i="24"/>
  <c r="N32" i="24"/>
  <c r="L33" i="24"/>
  <c r="N33" i="24"/>
  <c r="L32" i="25"/>
  <c r="N32" i="25"/>
  <c r="L33" i="25"/>
  <c r="N33" i="25"/>
  <c r="L32" i="23"/>
  <c r="N32" i="23"/>
  <c r="L33" i="23"/>
  <c r="N33" i="23"/>
  <c r="L32" i="22"/>
  <c r="N32" i="22"/>
  <c r="L32" i="21"/>
  <c r="N32" i="21"/>
  <c r="N32" i="20"/>
  <c r="L32" i="20"/>
  <c r="L32" i="19"/>
  <c r="N32" i="19"/>
  <c r="L33" i="19"/>
  <c r="N33" i="19"/>
  <c r="L32" i="18"/>
  <c r="N32" i="18"/>
  <c r="L33" i="18"/>
  <c r="N33" i="18"/>
  <c r="P1" i="31"/>
  <c r="P84" i="31" s="1"/>
  <c r="P1" i="29"/>
  <c r="P84" i="29" s="1"/>
  <c r="P1" i="28"/>
  <c r="P84" i="28" s="1"/>
  <c r="P1" i="27"/>
  <c r="P84" i="27" s="1"/>
  <c r="P1" i="26"/>
  <c r="P84" i="26" s="1"/>
  <c r="P1" i="24"/>
  <c r="P84" i="24" s="1"/>
  <c r="P1" i="25"/>
  <c r="P84" i="25" s="1"/>
  <c r="L105" i="4"/>
  <c r="M105" i="4" s="1"/>
  <c r="N105" i="4"/>
  <c r="O105" i="4" s="1"/>
  <c r="L104" i="3"/>
  <c r="M104" i="3" s="1"/>
  <c r="N32" i="3"/>
  <c r="L33" i="3"/>
  <c r="N33" i="3"/>
  <c r="L34" i="3"/>
  <c r="N34" i="3"/>
  <c r="L35" i="3"/>
  <c r="N35" i="3"/>
  <c r="L36" i="3"/>
  <c r="N36" i="3"/>
  <c r="L37" i="3"/>
  <c r="N37" i="3"/>
  <c r="L38" i="3"/>
  <c r="N38" i="3"/>
  <c r="L39" i="3"/>
  <c r="N39" i="3"/>
  <c r="L40" i="3"/>
  <c r="N40" i="3"/>
  <c r="L41" i="3"/>
  <c r="N41" i="3"/>
  <c r="L42" i="3"/>
  <c r="N42" i="3"/>
  <c r="L43" i="3"/>
  <c r="N43" i="3"/>
  <c r="N43" i="31"/>
  <c r="L43" i="31"/>
  <c r="N42" i="31"/>
  <c r="L42" i="31"/>
  <c r="N41" i="31"/>
  <c r="L41" i="31"/>
  <c r="N33" i="31"/>
  <c r="L33" i="31"/>
  <c r="N32" i="31"/>
  <c r="L32" i="31"/>
  <c r="D95" i="31"/>
  <c r="D94" i="31"/>
  <c r="C100" i="31" s="1"/>
  <c r="C101" i="31" s="1"/>
  <c r="C102" i="31" s="1"/>
  <c r="C103" i="31" s="1"/>
  <c r="C104" i="31" s="1"/>
  <c r="C105" i="31" s="1"/>
  <c r="C106" i="31" s="1"/>
  <c r="C107" i="31" s="1"/>
  <c r="C108" i="31" s="1"/>
  <c r="C109" i="31" s="1"/>
  <c r="C110" i="31" s="1"/>
  <c r="C111" i="31" s="1"/>
  <c r="C112" i="31" s="1"/>
  <c r="C113" i="31" s="1"/>
  <c r="C114" i="31" s="1"/>
  <c r="C115" i="31" s="1"/>
  <c r="C116" i="31" s="1"/>
  <c r="C117" i="31" s="1"/>
  <c r="C118" i="31" s="1"/>
  <c r="C119" i="31" s="1"/>
  <c r="C120" i="31" s="1"/>
  <c r="C121" i="31" s="1"/>
  <c r="C122" i="31" s="1"/>
  <c r="C123" i="31" s="1"/>
  <c r="C124" i="31" s="1"/>
  <c r="C125" i="31" s="1"/>
  <c r="C126" i="31" s="1"/>
  <c r="C127" i="31" s="1"/>
  <c r="C128" i="31" s="1"/>
  <c r="C129" i="31" s="1"/>
  <c r="C130" i="31" s="1"/>
  <c r="C131" i="31" s="1"/>
  <c r="C132" i="31" s="1"/>
  <c r="C133" i="31" s="1"/>
  <c r="C134" i="31" s="1"/>
  <c r="C135" i="31" s="1"/>
  <c r="C136" i="31" s="1"/>
  <c r="C137" i="31" s="1"/>
  <c r="C138" i="31" s="1"/>
  <c r="C139" i="31" s="1"/>
  <c r="C140" i="31" s="1"/>
  <c r="C141" i="31" s="1"/>
  <c r="C142" i="31" s="1"/>
  <c r="C143" i="31" s="1"/>
  <c r="C144" i="31" s="1"/>
  <c r="C145" i="31" s="1"/>
  <c r="C146" i="31" s="1"/>
  <c r="C147" i="31" s="1"/>
  <c r="C148" i="31" s="1"/>
  <c r="C149" i="31" s="1"/>
  <c r="C150" i="31" s="1"/>
  <c r="C151" i="31" s="1"/>
  <c r="C152" i="31" s="1"/>
  <c r="C153" i="31" s="1"/>
  <c r="C154" i="31" s="1"/>
  <c r="C155" i="31" s="1"/>
  <c r="O155" i="31"/>
  <c r="M155" i="31"/>
  <c r="O154" i="31"/>
  <c r="M154" i="31"/>
  <c r="O153" i="31"/>
  <c r="M153" i="31"/>
  <c r="O152" i="31"/>
  <c r="M152" i="31"/>
  <c r="O151" i="31"/>
  <c r="M151" i="31"/>
  <c r="O150" i="31"/>
  <c r="M150" i="31"/>
  <c r="O149" i="31"/>
  <c r="M149" i="31"/>
  <c r="O148" i="31"/>
  <c r="M148" i="31"/>
  <c r="O147" i="31"/>
  <c r="M147" i="31"/>
  <c r="O146" i="31"/>
  <c r="M146" i="31"/>
  <c r="O145" i="31"/>
  <c r="M145" i="31"/>
  <c r="O144" i="31"/>
  <c r="M144" i="31"/>
  <c r="O143" i="31"/>
  <c r="M143" i="31"/>
  <c r="O142" i="31"/>
  <c r="M142" i="31"/>
  <c r="O141" i="31"/>
  <c r="M141" i="31"/>
  <c r="O140" i="31"/>
  <c r="M140" i="31"/>
  <c r="O139" i="31"/>
  <c r="M139" i="31"/>
  <c r="O138" i="31"/>
  <c r="M138" i="31"/>
  <c r="O137" i="31"/>
  <c r="M137" i="31"/>
  <c r="O136" i="31"/>
  <c r="M136" i="31"/>
  <c r="O135" i="31"/>
  <c r="M135" i="31"/>
  <c r="O134" i="31"/>
  <c r="M134" i="31"/>
  <c r="O133" i="31"/>
  <c r="M133" i="31"/>
  <c r="O132" i="31"/>
  <c r="M132" i="31"/>
  <c r="O131" i="31"/>
  <c r="M131" i="31"/>
  <c r="O130" i="31"/>
  <c r="M130" i="31"/>
  <c r="O129" i="31"/>
  <c r="M129" i="31"/>
  <c r="O128" i="31"/>
  <c r="M128" i="31"/>
  <c r="O127" i="31"/>
  <c r="M127" i="31"/>
  <c r="O126" i="31"/>
  <c r="M126" i="31"/>
  <c r="O125" i="31"/>
  <c r="M125" i="31"/>
  <c r="O124" i="31"/>
  <c r="M124" i="31"/>
  <c r="O123" i="31"/>
  <c r="M123" i="31"/>
  <c r="O122" i="31"/>
  <c r="M122" i="31"/>
  <c r="O121" i="31"/>
  <c r="M121" i="31"/>
  <c r="O120" i="31"/>
  <c r="M120" i="31"/>
  <c r="O119" i="31"/>
  <c r="M119" i="31"/>
  <c r="O118" i="31"/>
  <c r="M118" i="31"/>
  <c r="O117" i="31"/>
  <c r="M117" i="31"/>
  <c r="O116" i="31"/>
  <c r="M116" i="31"/>
  <c r="O115" i="31"/>
  <c r="M115" i="31"/>
  <c r="O114" i="31"/>
  <c r="M114" i="31"/>
  <c r="O113" i="31"/>
  <c r="M113" i="31"/>
  <c r="O112" i="31"/>
  <c r="M112" i="31"/>
  <c r="O111" i="31"/>
  <c r="M111" i="31"/>
  <c r="O110" i="31"/>
  <c r="M110" i="31"/>
  <c r="O109" i="31"/>
  <c r="M109" i="31"/>
  <c r="O108" i="31"/>
  <c r="M108" i="31"/>
  <c r="O104" i="31"/>
  <c r="O103" i="31"/>
  <c r="O102" i="31"/>
  <c r="D97" i="31"/>
  <c r="L94" i="31"/>
  <c r="J94" i="31"/>
  <c r="D90" i="31"/>
  <c r="N73" i="31"/>
  <c r="L73" i="31"/>
  <c r="N72" i="31"/>
  <c r="L72" i="31"/>
  <c r="N71" i="31"/>
  <c r="L71" i="31"/>
  <c r="N70" i="31"/>
  <c r="L70" i="31"/>
  <c r="N69" i="31"/>
  <c r="L69" i="31"/>
  <c r="N68" i="31"/>
  <c r="L68" i="31"/>
  <c r="N67" i="31"/>
  <c r="L67" i="31"/>
  <c r="N66" i="31"/>
  <c r="L66" i="31"/>
  <c r="N65" i="31"/>
  <c r="L65" i="31"/>
  <c r="N64" i="31"/>
  <c r="L64" i="31"/>
  <c r="N63" i="31"/>
  <c r="L63" i="31"/>
  <c r="N62" i="31"/>
  <c r="L62" i="31"/>
  <c r="N61" i="31"/>
  <c r="L61" i="31"/>
  <c r="N60" i="31"/>
  <c r="L60" i="31"/>
  <c r="N59" i="31"/>
  <c r="L59" i="31"/>
  <c r="N58" i="31"/>
  <c r="L58" i="31"/>
  <c r="N57" i="31"/>
  <c r="L57" i="31"/>
  <c r="N56" i="31"/>
  <c r="L56" i="31"/>
  <c r="N55" i="31"/>
  <c r="L55" i="31"/>
  <c r="N54" i="31"/>
  <c r="L54" i="31"/>
  <c r="N53" i="31"/>
  <c r="L53" i="31"/>
  <c r="N52" i="31"/>
  <c r="L52" i="31"/>
  <c r="N51" i="31"/>
  <c r="L51" i="31"/>
  <c r="N50" i="31"/>
  <c r="L50" i="31"/>
  <c r="N49" i="31"/>
  <c r="L49" i="31"/>
  <c r="N48" i="31"/>
  <c r="L48" i="31"/>
  <c r="N47" i="31"/>
  <c r="L47" i="31"/>
  <c r="N46" i="31"/>
  <c r="L46" i="31"/>
  <c r="N45" i="31"/>
  <c r="L45" i="31"/>
  <c r="N44" i="31"/>
  <c r="L44" i="31"/>
  <c r="N40" i="31"/>
  <c r="L40" i="31"/>
  <c r="N39" i="31"/>
  <c r="L39" i="31"/>
  <c r="N38" i="31"/>
  <c r="L38" i="31"/>
  <c r="N37" i="31"/>
  <c r="L37" i="31"/>
  <c r="N36" i="31"/>
  <c r="L36" i="31"/>
  <c r="N35" i="31"/>
  <c r="L35" i="31"/>
  <c r="N34" i="31"/>
  <c r="L34" i="31"/>
  <c r="N31" i="31"/>
  <c r="L31" i="31"/>
  <c r="N30" i="31"/>
  <c r="L30" i="31"/>
  <c r="N29" i="31"/>
  <c r="L29" i="31"/>
  <c r="N28" i="31"/>
  <c r="L28" i="31"/>
  <c r="N27" i="31"/>
  <c r="L27" i="31"/>
  <c r="N26" i="31"/>
  <c r="L26" i="31"/>
  <c r="N23" i="31"/>
  <c r="N22" i="31"/>
  <c r="N21" i="31"/>
  <c r="N20" i="31"/>
  <c r="C17" i="31"/>
  <c r="C18" i="31" s="1"/>
  <c r="C19" i="31" s="1"/>
  <c r="C20" i="31" s="1"/>
  <c r="C21" i="31" s="1"/>
  <c r="C22" i="31" s="1"/>
  <c r="C23" i="31" s="1"/>
  <c r="C24" i="31" s="1"/>
  <c r="C25" i="31" s="1"/>
  <c r="C26" i="31" s="1"/>
  <c r="C27" i="31" s="1"/>
  <c r="C28" i="31" s="1"/>
  <c r="C29" i="31" s="1"/>
  <c r="C30" i="31" s="1"/>
  <c r="C31" i="31" s="1"/>
  <c r="C32" i="31" s="1"/>
  <c r="B17" i="31"/>
  <c r="K11" i="31"/>
  <c r="D8" i="31"/>
  <c r="D91" i="31" s="1"/>
  <c r="H3" i="31"/>
  <c r="P1" i="23"/>
  <c r="P84" i="23" s="1"/>
  <c r="P1" i="22"/>
  <c r="P84" i="22" s="1"/>
  <c r="F90" i="2"/>
  <c r="F86" i="1"/>
  <c r="F83" i="1"/>
  <c r="W31" i="17"/>
  <c r="P155" i="29"/>
  <c r="O155" i="29"/>
  <c r="M155" i="29"/>
  <c r="J155" i="29"/>
  <c r="P154" i="29"/>
  <c r="O154" i="29"/>
  <c r="M154" i="29"/>
  <c r="J154" i="29"/>
  <c r="P153" i="29"/>
  <c r="O153" i="29"/>
  <c r="M153" i="29"/>
  <c r="J153" i="29"/>
  <c r="P152" i="29"/>
  <c r="O152" i="29"/>
  <c r="M152" i="29"/>
  <c r="J152" i="29"/>
  <c r="P151" i="29"/>
  <c r="O151" i="29"/>
  <c r="M151" i="29"/>
  <c r="J151" i="29"/>
  <c r="P150" i="29"/>
  <c r="O150" i="29"/>
  <c r="M150" i="29"/>
  <c r="J150" i="29"/>
  <c r="P149" i="29"/>
  <c r="O149" i="29"/>
  <c r="M149" i="29"/>
  <c r="J149" i="29"/>
  <c r="P148" i="29"/>
  <c r="O148" i="29"/>
  <c r="M148" i="29"/>
  <c r="J148" i="29"/>
  <c r="P147" i="29"/>
  <c r="O147" i="29"/>
  <c r="M147" i="29"/>
  <c r="J147" i="29"/>
  <c r="P146" i="29"/>
  <c r="O146" i="29"/>
  <c r="M146" i="29"/>
  <c r="J146" i="29"/>
  <c r="P145" i="29"/>
  <c r="O145" i="29"/>
  <c r="M145" i="29"/>
  <c r="J145" i="29"/>
  <c r="P144" i="29"/>
  <c r="O144" i="29"/>
  <c r="M144" i="29"/>
  <c r="J144" i="29"/>
  <c r="P143" i="29"/>
  <c r="O143" i="29"/>
  <c r="M143" i="29"/>
  <c r="J143" i="29"/>
  <c r="P142" i="29"/>
  <c r="O142" i="29"/>
  <c r="M142" i="29"/>
  <c r="J142" i="29"/>
  <c r="P141" i="29"/>
  <c r="O141" i="29"/>
  <c r="M141" i="29"/>
  <c r="J141" i="29"/>
  <c r="P140" i="29"/>
  <c r="O140" i="29"/>
  <c r="M140" i="29"/>
  <c r="J140" i="29"/>
  <c r="P139" i="29"/>
  <c r="O139" i="29"/>
  <c r="M139" i="29"/>
  <c r="J139" i="29"/>
  <c r="P138" i="29"/>
  <c r="O138" i="29"/>
  <c r="M138" i="29"/>
  <c r="J138" i="29"/>
  <c r="P137" i="29"/>
  <c r="O137" i="29"/>
  <c r="M137" i="29"/>
  <c r="J137" i="29"/>
  <c r="P136" i="29"/>
  <c r="O136" i="29"/>
  <c r="M136" i="29"/>
  <c r="J136" i="29"/>
  <c r="P135" i="29"/>
  <c r="O135" i="29"/>
  <c r="M135" i="29"/>
  <c r="J135" i="29"/>
  <c r="P134" i="29"/>
  <c r="O134" i="29"/>
  <c r="M134" i="29"/>
  <c r="J134" i="29"/>
  <c r="P133" i="29"/>
  <c r="O133" i="29"/>
  <c r="M133" i="29"/>
  <c r="J133" i="29"/>
  <c r="P132" i="29"/>
  <c r="O132" i="29"/>
  <c r="M132" i="29"/>
  <c r="J132" i="29"/>
  <c r="O131" i="29"/>
  <c r="M131" i="29"/>
  <c r="O130" i="29"/>
  <c r="M130" i="29"/>
  <c r="O129" i="29"/>
  <c r="M129" i="29"/>
  <c r="O128" i="29"/>
  <c r="M128" i="29"/>
  <c r="O127" i="29"/>
  <c r="M127" i="29"/>
  <c r="O126" i="29"/>
  <c r="M126" i="29"/>
  <c r="O125" i="29"/>
  <c r="M125" i="29"/>
  <c r="O124" i="29"/>
  <c r="M124" i="29"/>
  <c r="O123" i="29"/>
  <c r="M123" i="29"/>
  <c r="O122" i="29"/>
  <c r="M122" i="29"/>
  <c r="O121" i="29"/>
  <c r="M121" i="29"/>
  <c r="O120" i="29"/>
  <c r="M120" i="29"/>
  <c r="O119" i="29"/>
  <c r="M119" i="29"/>
  <c r="O118" i="29"/>
  <c r="M118" i="29"/>
  <c r="O117" i="29"/>
  <c r="M117" i="29"/>
  <c r="O116" i="29"/>
  <c r="M116" i="29"/>
  <c r="O115" i="29"/>
  <c r="M115" i="29"/>
  <c r="O114" i="29"/>
  <c r="M114" i="29"/>
  <c r="O113" i="29"/>
  <c r="M113" i="29"/>
  <c r="O112" i="29"/>
  <c r="M112" i="29"/>
  <c r="O111" i="29"/>
  <c r="M111" i="29"/>
  <c r="O110" i="29"/>
  <c r="M110" i="29"/>
  <c r="O109" i="29"/>
  <c r="M109" i="29"/>
  <c r="O105" i="29"/>
  <c r="O104" i="29"/>
  <c r="D97" i="29"/>
  <c r="L94" i="29"/>
  <c r="J94" i="29"/>
  <c r="D92" i="29"/>
  <c r="D90" i="29"/>
  <c r="N73" i="29"/>
  <c r="L73" i="29"/>
  <c r="N72" i="29"/>
  <c r="L72" i="29"/>
  <c r="N71" i="29"/>
  <c r="L71" i="29"/>
  <c r="N70" i="29"/>
  <c r="L70" i="29"/>
  <c r="N69" i="29"/>
  <c r="L69" i="29"/>
  <c r="N68" i="29"/>
  <c r="L68" i="29"/>
  <c r="N67" i="29"/>
  <c r="L67" i="29"/>
  <c r="N66" i="29"/>
  <c r="L66" i="29"/>
  <c r="N65" i="29"/>
  <c r="L65" i="29"/>
  <c r="N64" i="29"/>
  <c r="L64" i="29"/>
  <c r="N63" i="29"/>
  <c r="L63" i="29"/>
  <c r="N62" i="29"/>
  <c r="L62" i="29"/>
  <c r="N61" i="29"/>
  <c r="L61" i="29"/>
  <c r="N60" i="29"/>
  <c r="L60" i="29"/>
  <c r="N59" i="29"/>
  <c r="L59" i="29"/>
  <c r="N58" i="29"/>
  <c r="L58" i="29"/>
  <c r="N57" i="29"/>
  <c r="L57" i="29"/>
  <c r="N56" i="29"/>
  <c r="L56" i="29"/>
  <c r="N55" i="29"/>
  <c r="L55" i="29"/>
  <c r="N54" i="29"/>
  <c r="L54" i="29"/>
  <c r="N53" i="29"/>
  <c r="L53" i="29"/>
  <c r="N52" i="29"/>
  <c r="L52" i="29"/>
  <c r="N51" i="29"/>
  <c r="L51" i="29"/>
  <c r="N50" i="29"/>
  <c r="L50" i="29"/>
  <c r="N49" i="29"/>
  <c r="L49" i="29"/>
  <c r="N48" i="29"/>
  <c r="L48" i="29"/>
  <c r="N47" i="29"/>
  <c r="L47" i="29"/>
  <c r="N46" i="29"/>
  <c r="L46" i="29"/>
  <c r="N45" i="29"/>
  <c r="L45" i="29"/>
  <c r="N44" i="29"/>
  <c r="L44" i="29"/>
  <c r="N43" i="29"/>
  <c r="L43" i="29"/>
  <c r="N42" i="29"/>
  <c r="L42" i="29"/>
  <c r="N41" i="29"/>
  <c r="L41" i="29"/>
  <c r="N40" i="29"/>
  <c r="L40" i="29"/>
  <c r="N39" i="29"/>
  <c r="L39" i="29"/>
  <c r="N38" i="29"/>
  <c r="L38" i="29"/>
  <c r="N37" i="29"/>
  <c r="L37" i="29"/>
  <c r="N36" i="29"/>
  <c r="L36" i="29"/>
  <c r="N35" i="29"/>
  <c r="L35" i="29"/>
  <c r="N34" i="29"/>
  <c r="L34" i="29"/>
  <c r="N31" i="29"/>
  <c r="L31" i="29"/>
  <c r="N30" i="29"/>
  <c r="L30" i="29"/>
  <c r="N29" i="29"/>
  <c r="L29" i="29"/>
  <c r="N28" i="29"/>
  <c r="L28" i="29"/>
  <c r="N27" i="29"/>
  <c r="L27" i="29"/>
  <c r="N24" i="29"/>
  <c r="N23" i="29"/>
  <c r="N22" i="29"/>
  <c r="N21" i="29"/>
  <c r="C17" i="29"/>
  <c r="C18" i="29" s="1"/>
  <c r="C19" i="29" s="1"/>
  <c r="C20" i="29" s="1"/>
  <c r="C21" i="29" s="1"/>
  <c r="C22" i="29" s="1"/>
  <c r="C23" i="29" s="1"/>
  <c r="C24" i="29" s="1"/>
  <c r="C25" i="29" s="1"/>
  <c r="C26" i="29" s="1"/>
  <c r="C27" i="29" s="1"/>
  <c r="C28" i="29" s="1"/>
  <c r="C29" i="29" s="1"/>
  <c r="C30" i="29" s="1"/>
  <c r="C31" i="29" s="1"/>
  <c r="C32" i="29" s="1"/>
  <c r="K11" i="29"/>
  <c r="I11" i="29"/>
  <c r="D8" i="29"/>
  <c r="D91" i="29" s="1"/>
  <c r="B100" i="22"/>
  <c r="B18" i="22"/>
  <c r="B17" i="22"/>
  <c r="B102" i="28"/>
  <c r="B20" i="28"/>
  <c r="B19" i="28"/>
  <c r="B18" i="28"/>
  <c r="B17" i="28"/>
  <c r="D95" i="28"/>
  <c r="D94" i="28"/>
  <c r="C100" i="28" s="1"/>
  <c r="C101" i="28" s="1"/>
  <c r="C102" i="28" s="1"/>
  <c r="C103" i="28" s="1"/>
  <c r="C104" i="28" s="1"/>
  <c r="C105" i="28" s="1"/>
  <c r="C106" i="28" s="1"/>
  <c r="C107" i="28" s="1"/>
  <c r="C108" i="28" s="1"/>
  <c r="C109" i="28" s="1"/>
  <c r="C110" i="28" s="1"/>
  <c r="C111" i="28" s="1"/>
  <c r="C112" i="28" s="1"/>
  <c r="C113" i="28" s="1"/>
  <c r="C114" i="28" s="1"/>
  <c r="C115" i="28" s="1"/>
  <c r="C116" i="28" s="1"/>
  <c r="C117" i="28" s="1"/>
  <c r="C118" i="28" s="1"/>
  <c r="C119" i="28" s="1"/>
  <c r="C120" i="28" s="1"/>
  <c r="C121" i="28" s="1"/>
  <c r="C122" i="28" s="1"/>
  <c r="C123" i="28" s="1"/>
  <c r="C124" i="28" s="1"/>
  <c r="C125" i="28" s="1"/>
  <c r="C126" i="28" s="1"/>
  <c r="C127" i="28" s="1"/>
  <c r="C128" i="28" s="1"/>
  <c r="C129" i="28" s="1"/>
  <c r="C130" i="28" s="1"/>
  <c r="C131" i="28" s="1"/>
  <c r="C132" i="28" s="1"/>
  <c r="C133" i="28" s="1"/>
  <c r="C134" i="28" s="1"/>
  <c r="C135" i="28" s="1"/>
  <c r="C136" i="28" s="1"/>
  <c r="C137" i="28" s="1"/>
  <c r="C138" i="28" s="1"/>
  <c r="C139" i="28" s="1"/>
  <c r="C140" i="28" s="1"/>
  <c r="C141" i="28" s="1"/>
  <c r="C142" i="28" s="1"/>
  <c r="C143" i="28" s="1"/>
  <c r="C144" i="28" s="1"/>
  <c r="C145" i="28" s="1"/>
  <c r="C146" i="28" s="1"/>
  <c r="C147" i="28" s="1"/>
  <c r="C148" i="28" s="1"/>
  <c r="C149" i="28" s="1"/>
  <c r="C150" i="28" s="1"/>
  <c r="C151" i="28" s="1"/>
  <c r="C152" i="28" s="1"/>
  <c r="C153" i="28" s="1"/>
  <c r="C154" i="28" s="1"/>
  <c r="C155" i="28" s="1"/>
  <c r="M19" i="28"/>
  <c r="N19" i="28" s="1"/>
  <c r="K19" i="28"/>
  <c r="L19" i="28" s="1"/>
  <c r="D95" i="27"/>
  <c r="D94" i="27"/>
  <c r="C100" i="27" s="1"/>
  <c r="C101" i="27" s="1"/>
  <c r="C102" i="27" s="1"/>
  <c r="C103" i="27" s="1"/>
  <c r="C104" i="27" s="1"/>
  <c r="C105" i="27" s="1"/>
  <c r="C106" i="27" s="1"/>
  <c r="C107" i="27" s="1"/>
  <c r="C108" i="27" s="1"/>
  <c r="C109" i="27" s="1"/>
  <c r="C110" i="27" s="1"/>
  <c r="C111" i="27" s="1"/>
  <c r="C112" i="27" s="1"/>
  <c r="C113" i="27" s="1"/>
  <c r="C114" i="27" s="1"/>
  <c r="C115" i="27" s="1"/>
  <c r="C116" i="27" s="1"/>
  <c r="C117" i="27" s="1"/>
  <c r="C118" i="27" s="1"/>
  <c r="C119" i="27" s="1"/>
  <c r="C120" i="27" s="1"/>
  <c r="C121" i="27" s="1"/>
  <c r="C122" i="27" s="1"/>
  <c r="C123" i="27" s="1"/>
  <c r="C124" i="27" s="1"/>
  <c r="C125" i="27" s="1"/>
  <c r="C126" i="27" s="1"/>
  <c r="C127" i="27" s="1"/>
  <c r="C128" i="27" s="1"/>
  <c r="C129" i="27" s="1"/>
  <c r="C130" i="27" s="1"/>
  <c r="C131" i="27" s="1"/>
  <c r="C132" i="27" s="1"/>
  <c r="C133" i="27" s="1"/>
  <c r="C134" i="27" s="1"/>
  <c r="C135" i="27" s="1"/>
  <c r="C136" i="27" s="1"/>
  <c r="C137" i="27" s="1"/>
  <c r="C138" i="27" s="1"/>
  <c r="C139" i="27" s="1"/>
  <c r="C140" i="27" s="1"/>
  <c r="C141" i="27" s="1"/>
  <c r="C142" i="27" s="1"/>
  <c r="C143" i="27" s="1"/>
  <c r="C144" i="27" s="1"/>
  <c r="C145" i="27" s="1"/>
  <c r="C146" i="27" s="1"/>
  <c r="C147" i="27" s="1"/>
  <c r="C148" i="27" s="1"/>
  <c r="C149" i="27" s="1"/>
  <c r="C150" i="27" s="1"/>
  <c r="C151" i="27" s="1"/>
  <c r="C152" i="27" s="1"/>
  <c r="C153" i="27" s="1"/>
  <c r="C154" i="27" s="1"/>
  <c r="C155" i="27" s="1"/>
  <c r="B20" i="27"/>
  <c r="B19" i="27"/>
  <c r="B18" i="27"/>
  <c r="B17" i="27"/>
  <c r="M19" i="27"/>
  <c r="N19" i="27" s="1"/>
  <c r="K19" i="27"/>
  <c r="L19" i="27" s="1"/>
  <c r="M18" i="27"/>
  <c r="N18" i="27" s="1"/>
  <c r="K18" i="27"/>
  <c r="L18" i="27" s="1"/>
  <c r="B101" i="26"/>
  <c r="D95" i="26"/>
  <c r="C100" i="26"/>
  <c r="C101" i="26" s="1"/>
  <c r="C102" i="26" s="1"/>
  <c r="C103" i="26" s="1"/>
  <c r="C104" i="26" s="1"/>
  <c r="C105" i="26" s="1"/>
  <c r="C106" i="26" s="1"/>
  <c r="C107" i="26" s="1"/>
  <c r="C108" i="26" s="1"/>
  <c r="C109" i="26" s="1"/>
  <c r="C110" i="26" s="1"/>
  <c r="C111" i="26" s="1"/>
  <c r="C112" i="26" s="1"/>
  <c r="C113" i="26" s="1"/>
  <c r="C114" i="26" s="1"/>
  <c r="C115" i="26" s="1"/>
  <c r="C116" i="26" s="1"/>
  <c r="C117" i="26" s="1"/>
  <c r="C118" i="26" s="1"/>
  <c r="C119" i="26" s="1"/>
  <c r="C120" i="26" s="1"/>
  <c r="C121" i="26" s="1"/>
  <c r="C122" i="26" s="1"/>
  <c r="C123" i="26" s="1"/>
  <c r="C124" i="26" s="1"/>
  <c r="C125" i="26" s="1"/>
  <c r="C126" i="26" s="1"/>
  <c r="C127" i="26" s="1"/>
  <c r="C128" i="26" s="1"/>
  <c r="C129" i="26" s="1"/>
  <c r="C130" i="26" s="1"/>
  <c r="C131" i="26" s="1"/>
  <c r="C132" i="26" s="1"/>
  <c r="C133" i="26" s="1"/>
  <c r="C134" i="26" s="1"/>
  <c r="C135" i="26" s="1"/>
  <c r="C136" i="26" s="1"/>
  <c r="C137" i="26" s="1"/>
  <c r="C138" i="26" s="1"/>
  <c r="C139" i="26" s="1"/>
  <c r="C140" i="26" s="1"/>
  <c r="C141" i="26" s="1"/>
  <c r="C142" i="26" s="1"/>
  <c r="C143" i="26" s="1"/>
  <c r="C144" i="26" s="1"/>
  <c r="C145" i="26" s="1"/>
  <c r="C146" i="26" s="1"/>
  <c r="C147" i="26" s="1"/>
  <c r="C148" i="26" s="1"/>
  <c r="C149" i="26" s="1"/>
  <c r="C150" i="26" s="1"/>
  <c r="C151" i="26" s="1"/>
  <c r="C152" i="26" s="1"/>
  <c r="C153" i="26" s="1"/>
  <c r="C154" i="26" s="1"/>
  <c r="C155" i="26" s="1"/>
  <c r="B18" i="26"/>
  <c r="B17" i="26"/>
  <c r="B20" i="24"/>
  <c r="B19" i="24"/>
  <c r="B18" i="24"/>
  <c r="B17" i="24"/>
  <c r="B19" i="26"/>
  <c r="M18" i="26"/>
  <c r="N18" i="26" s="1"/>
  <c r="K18" i="26"/>
  <c r="L18" i="26" s="1"/>
  <c r="D95" i="24"/>
  <c r="D94" i="24"/>
  <c r="C100" i="24" s="1"/>
  <c r="C101" i="24" s="1"/>
  <c r="C102" i="24" s="1"/>
  <c r="C103" i="24" s="1"/>
  <c r="C104" i="24" s="1"/>
  <c r="C105" i="24" s="1"/>
  <c r="C106" i="24" s="1"/>
  <c r="C107" i="24" s="1"/>
  <c r="C108" i="24" s="1"/>
  <c r="C109" i="24" s="1"/>
  <c r="C110" i="24" s="1"/>
  <c r="C111" i="24" s="1"/>
  <c r="C112" i="24" s="1"/>
  <c r="C113" i="24" s="1"/>
  <c r="C114" i="24" s="1"/>
  <c r="C115" i="24" s="1"/>
  <c r="C116" i="24" s="1"/>
  <c r="C117" i="24" s="1"/>
  <c r="C118" i="24" s="1"/>
  <c r="C119" i="24" s="1"/>
  <c r="C120" i="24" s="1"/>
  <c r="C121" i="24" s="1"/>
  <c r="C122" i="24" s="1"/>
  <c r="C123" i="24" s="1"/>
  <c r="C124" i="24" s="1"/>
  <c r="C125" i="24" s="1"/>
  <c r="C126" i="24" s="1"/>
  <c r="C127" i="24" s="1"/>
  <c r="C128" i="24" s="1"/>
  <c r="C129" i="24" s="1"/>
  <c r="C130" i="24" s="1"/>
  <c r="C131" i="24" s="1"/>
  <c r="C132" i="24" s="1"/>
  <c r="C133" i="24" s="1"/>
  <c r="C134" i="24" s="1"/>
  <c r="C135" i="24" s="1"/>
  <c r="C136" i="24" s="1"/>
  <c r="C137" i="24" s="1"/>
  <c r="C138" i="24" s="1"/>
  <c r="C139" i="24" s="1"/>
  <c r="C140" i="24" s="1"/>
  <c r="C141" i="24" s="1"/>
  <c r="C142" i="24" s="1"/>
  <c r="C143" i="24" s="1"/>
  <c r="C144" i="24" s="1"/>
  <c r="C145" i="24" s="1"/>
  <c r="C146" i="24" s="1"/>
  <c r="C147" i="24" s="1"/>
  <c r="C148" i="24" s="1"/>
  <c r="C149" i="24" s="1"/>
  <c r="C150" i="24" s="1"/>
  <c r="C151" i="24" s="1"/>
  <c r="C152" i="24" s="1"/>
  <c r="C153" i="24" s="1"/>
  <c r="C154" i="24" s="1"/>
  <c r="C155" i="24" s="1"/>
  <c r="M19" i="24"/>
  <c r="N19" i="24" s="1"/>
  <c r="K19" i="24"/>
  <c r="L19" i="24" s="1"/>
  <c r="B17" i="25"/>
  <c r="B19" i="23"/>
  <c r="B18" i="23"/>
  <c r="B17" i="23"/>
  <c r="B18" i="25"/>
  <c r="M17" i="25"/>
  <c r="N17" i="25" s="1"/>
  <c r="K17" i="25"/>
  <c r="L17" i="25" s="1"/>
  <c r="N100" i="23"/>
  <c r="O100" i="23" s="1"/>
  <c r="L100" i="23"/>
  <c r="M100" i="23" s="1"/>
  <c r="M18" i="23"/>
  <c r="N18" i="23" s="1"/>
  <c r="K18" i="23"/>
  <c r="L18" i="23" s="1"/>
  <c r="B101" i="22"/>
  <c r="N100" i="22"/>
  <c r="O100" i="22" s="1"/>
  <c r="L100" i="22"/>
  <c r="M100" i="22" s="1"/>
  <c r="B102" i="27"/>
  <c r="B19" i="22"/>
  <c r="M18" i="22"/>
  <c r="N18" i="22" s="1"/>
  <c r="K18" i="22"/>
  <c r="L18" i="22" s="1"/>
  <c r="M19" i="21"/>
  <c r="N19" i="21" s="1"/>
  <c r="K19" i="21"/>
  <c r="L19" i="21" s="1"/>
  <c r="N103" i="19"/>
  <c r="O103" i="19" s="1"/>
  <c r="L103" i="19"/>
  <c r="M103" i="19" s="1"/>
  <c r="M21" i="19"/>
  <c r="N21" i="19" s="1"/>
  <c r="K21" i="19"/>
  <c r="L21" i="19" s="1"/>
  <c r="N103" i="18"/>
  <c r="O103" i="18" s="1"/>
  <c r="L103" i="18"/>
  <c r="M103" i="18" s="1"/>
  <c r="M21" i="18"/>
  <c r="N21" i="18" s="1"/>
  <c r="K21" i="18"/>
  <c r="L21" i="18" s="1"/>
  <c r="N104" i="4"/>
  <c r="O104" i="4" s="1"/>
  <c r="L104" i="4"/>
  <c r="M104" i="4" s="1"/>
  <c r="M22" i="4"/>
  <c r="N22" i="4" s="1"/>
  <c r="K22" i="4"/>
  <c r="L22" i="4" s="1"/>
  <c r="N104" i="3"/>
  <c r="O104" i="3" s="1"/>
  <c r="M22" i="3"/>
  <c r="N22" i="3" s="1"/>
  <c r="K22" i="3"/>
  <c r="L22" i="3" s="1"/>
  <c r="W30" i="17"/>
  <c r="W29" i="17"/>
  <c r="M18" i="28"/>
  <c r="N18" i="28" s="1"/>
  <c r="K18" i="28"/>
  <c r="L18" i="28" s="1"/>
  <c r="P155" i="28"/>
  <c r="O155" i="28"/>
  <c r="M155" i="28"/>
  <c r="P154" i="28"/>
  <c r="O154" i="28"/>
  <c r="M154" i="28"/>
  <c r="P153" i="28"/>
  <c r="O153" i="28"/>
  <c r="M153" i="28"/>
  <c r="P152" i="28"/>
  <c r="O152" i="28"/>
  <c r="M152" i="28"/>
  <c r="P151" i="28"/>
  <c r="O151" i="28"/>
  <c r="M151" i="28"/>
  <c r="P150" i="28"/>
  <c r="O150" i="28"/>
  <c r="M150" i="28"/>
  <c r="P149" i="28"/>
  <c r="O149" i="28"/>
  <c r="M149" i="28"/>
  <c r="P148" i="28"/>
  <c r="O148" i="28"/>
  <c r="M148" i="28"/>
  <c r="P147" i="28"/>
  <c r="O147" i="28"/>
  <c r="M147" i="28"/>
  <c r="P146" i="28"/>
  <c r="O146" i="28"/>
  <c r="M146" i="28"/>
  <c r="P145" i="28"/>
  <c r="O145" i="28"/>
  <c r="M145" i="28"/>
  <c r="P144" i="28"/>
  <c r="O144" i="28"/>
  <c r="M144" i="28"/>
  <c r="P143" i="28"/>
  <c r="O143" i="28"/>
  <c r="M143" i="28"/>
  <c r="P142" i="28"/>
  <c r="O142" i="28"/>
  <c r="M142" i="28"/>
  <c r="P141" i="28"/>
  <c r="O141" i="28"/>
  <c r="M141" i="28"/>
  <c r="P140" i="28"/>
  <c r="O140" i="28"/>
  <c r="M140" i="28"/>
  <c r="P139" i="28"/>
  <c r="O139" i="28"/>
  <c r="M139" i="28"/>
  <c r="P138" i="28"/>
  <c r="O138" i="28"/>
  <c r="M138" i="28"/>
  <c r="P137" i="28"/>
  <c r="O137" i="28"/>
  <c r="M137" i="28"/>
  <c r="P136" i="28"/>
  <c r="O136" i="28"/>
  <c r="M136" i="28"/>
  <c r="P135" i="28"/>
  <c r="O135" i="28"/>
  <c r="M135" i="28"/>
  <c r="P134" i="28"/>
  <c r="O134" i="28"/>
  <c r="M134" i="28"/>
  <c r="P133" i="28"/>
  <c r="O133" i="28"/>
  <c r="M133" i="28"/>
  <c r="P132" i="28"/>
  <c r="O132" i="28"/>
  <c r="M132" i="28"/>
  <c r="O131" i="28"/>
  <c r="M131" i="28"/>
  <c r="O130" i="28"/>
  <c r="M130" i="28"/>
  <c r="O129" i="28"/>
  <c r="M129" i="28"/>
  <c r="O128" i="28"/>
  <c r="M128" i="28"/>
  <c r="O127" i="28"/>
  <c r="M127" i="28"/>
  <c r="O126" i="28"/>
  <c r="M126" i="28"/>
  <c r="O125" i="28"/>
  <c r="M125" i="28"/>
  <c r="O124" i="28"/>
  <c r="M124" i="28"/>
  <c r="O123" i="28"/>
  <c r="M123" i="28"/>
  <c r="O122" i="28"/>
  <c r="M122" i="28"/>
  <c r="O121" i="28"/>
  <c r="M121" i="28"/>
  <c r="O120" i="28"/>
  <c r="M120" i="28"/>
  <c r="O119" i="28"/>
  <c r="M119" i="28"/>
  <c r="O118" i="28"/>
  <c r="M118" i="28"/>
  <c r="O117" i="28"/>
  <c r="M117" i="28"/>
  <c r="O116" i="28"/>
  <c r="M116" i="28"/>
  <c r="O115" i="28"/>
  <c r="M115" i="28"/>
  <c r="O114" i="28"/>
  <c r="M114" i="28"/>
  <c r="O113" i="28"/>
  <c r="M113" i="28"/>
  <c r="O112" i="28"/>
  <c r="M112" i="28"/>
  <c r="O111" i="28"/>
  <c r="M111" i="28"/>
  <c r="O110" i="28"/>
  <c r="M110" i="28"/>
  <c r="O109" i="28"/>
  <c r="M109" i="28"/>
  <c r="O108" i="28"/>
  <c r="M108" i="28"/>
  <c r="O107" i="28"/>
  <c r="M107" i="28"/>
  <c r="O106" i="28"/>
  <c r="O101" i="28"/>
  <c r="M101" i="28"/>
  <c r="O100" i="28"/>
  <c r="M100" i="28"/>
  <c r="D97" i="28"/>
  <c r="L94" i="28"/>
  <c r="J94" i="28"/>
  <c r="D92" i="28"/>
  <c r="D91" i="28"/>
  <c r="D90" i="28"/>
  <c r="N73" i="28"/>
  <c r="L73" i="28"/>
  <c r="N72" i="28"/>
  <c r="L72" i="28"/>
  <c r="N71" i="28"/>
  <c r="L71" i="28"/>
  <c r="N70" i="28"/>
  <c r="L70" i="28"/>
  <c r="N69" i="28"/>
  <c r="L69" i="28"/>
  <c r="N68" i="28"/>
  <c r="L68" i="28"/>
  <c r="N67" i="28"/>
  <c r="L67" i="28"/>
  <c r="N66" i="28"/>
  <c r="L66" i="28"/>
  <c r="N65" i="28"/>
  <c r="L65" i="28"/>
  <c r="N64" i="28"/>
  <c r="L64" i="28"/>
  <c r="N63" i="28"/>
  <c r="L63" i="28"/>
  <c r="N62" i="28"/>
  <c r="L62" i="28"/>
  <c r="N61" i="28"/>
  <c r="L61" i="28"/>
  <c r="N60" i="28"/>
  <c r="L60" i="28"/>
  <c r="N59" i="28"/>
  <c r="L59" i="28"/>
  <c r="N58" i="28"/>
  <c r="L58" i="28"/>
  <c r="N57" i="28"/>
  <c r="L57" i="28"/>
  <c r="N56" i="28"/>
  <c r="L56" i="28"/>
  <c r="N55" i="28"/>
  <c r="L55" i="28"/>
  <c r="N54" i="28"/>
  <c r="L54" i="28"/>
  <c r="N53" i="28"/>
  <c r="L53" i="28"/>
  <c r="N52" i="28"/>
  <c r="L52" i="28"/>
  <c r="N51" i="28"/>
  <c r="L51" i="28"/>
  <c r="N50" i="28"/>
  <c r="L50" i="28"/>
  <c r="N49" i="28"/>
  <c r="L49" i="28"/>
  <c r="N48" i="28"/>
  <c r="L48" i="28"/>
  <c r="N47" i="28"/>
  <c r="L47" i="28"/>
  <c r="N46" i="28"/>
  <c r="L46" i="28"/>
  <c r="N45" i="28"/>
  <c r="L45" i="28"/>
  <c r="N44" i="28"/>
  <c r="L44" i="28"/>
  <c r="N43" i="28"/>
  <c r="L43" i="28"/>
  <c r="N42" i="28"/>
  <c r="L42" i="28"/>
  <c r="N41" i="28"/>
  <c r="L41" i="28"/>
  <c r="N40" i="28"/>
  <c r="L40" i="28"/>
  <c r="N39" i="28"/>
  <c r="L39" i="28"/>
  <c r="N38" i="28"/>
  <c r="L38" i="28"/>
  <c r="N37" i="28"/>
  <c r="L37" i="28"/>
  <c r="N36" i="28"/>
  <c r="L36" i="28"/>
  <c r="N35" i="28"/>
  <c r="L35" i="28"/>
  <c r="N34" i="28"/>
  <c r="L34" i="28"/>
  <c r="N31" i="28"/>
  <c r="L31" i="28"/>
  <c r="N30" i="28"/>
  <c r="L30" i="28"/>
  <c r="N29" i="28"/>
  <c r="L29" i="28"/>
  <c r="N28" i="28"/>
  <c r="L28" i="28"/>
  <c r="N27" i="28"/>
  <c r="L27" i="28"/>
  <c r="N26" i="28"/>
  <c r="L26" i="28"/>
  <c r="N25" i="28"/>
  <c r="L25" i="28"/>
  <c r="N24" i="28"/>
  <c r="N23" i="28"/>
  <c r="C17" i="28"/>
  <c r="C18" i="28" s="1"/>
  <c r="C19" i="28" s="1"/>
  <c r="C20" i="28" s="1"/>
  <c r="C21" i="28" s="1"/>
  <c r="C22" i="28" s="1"/>
  <c r="C23" i="28" s="1"/>
  <c r="C24" i="28" s="1"/>
  <c r="C25" i="28" s="1"/>
  <c r="C26" i="28" s="1"/>
  <c r="C27" i="28" s="1"/>
  <c r="C28" i="28" s="1"/>
  <c r="C29" i="28" s="1"/>
  <c r="C30" i="28" s="1"/>
  <c r="C31" i="28" s="1"/>
  <c r="C32" i="28" s="1"/>
  <c r="K11" i="28"/>
  <c r="I11" i="28"/>
  <c r="M17" i="27"/>
  <c r="N17" i="27" s="1"/>
  <c r="K17" i="27"/>
  <c r="L17" i="27" s="1"/>
  <c r="M17" i="26"/>
  <c r="N17" i="26" s="1"/>
  <c r="K17" i="26"/>
  <c r="L17" i="26" s="1"/>
  <c r="M18" i="24"/>
  <c r="N18" i="24" s="1"/>
  <c r="K18" i="24"/>
  <c r="L18" i="24" s="1"/>
  <c r="M17" i="24"/>
  <c r="N17" i="24" s="1"/>
  <c r="K17" i="24"/>
  <c r="L17" i="24" s="1"/>
  <c r="N102" i="18"/>
  <c r="O102" i="18" s="1"/>
  <c r="L102" i="18"/>
  <c r="M102" i="18" s="1"/>
  <c r="W26" i="17"/>
  <c r="W27" i="17"/>
  <c r="W28" i="17"/>
  <c r="P155" i="27"/>
  <c r="O155" i="27"/>
  <c r="M155" i="27"/>
  <c r="P154" i="27"/>
  <c r="O154" i="27"/>
  <c r="M154" i="27"/>
  <c r="P153" i="27"/>
  <c r="O153" i="27"/>
  <c r="M153" i="27"/>
  <c r="P152" i="27"/>
  <c r="O152" i="27"/>
  <c r="M152" i="27"/>
  <c r="P151" i="27"/>
  <c r="O151" i="27"/>
  <c r="M151" i="27"/>
  <c r="P150" i="27"/>
  <c r="O150" i="27"/>
  <c r="M150" i="27"/>
  <c r="P149" i="27"/>
  <c r="O149" i="27"/>
  <c r="M149" i="27"/>
  <c r="P148" i="27"/>
  <c r="O148" i="27"/>
  <c r="M148" i="27"/>
  <c r="P147" i="27"/>
  <c r="O147" i="27"/>
  <c r="M147" i="27"/>
  <c r="P146" i="27"/>
  <c r="O146" i="27"/>
  <c r="M146" i="27"/>
  <c r="P145" i="27"/>
  <c r="O145" i="27"/>
  <c r="M145" i="27"/>
  <c r="P144" i="27"/>
  <c r="O144" i="27"/>
  <c r="M144" i="27"/>
  <c r="P143" i="27"/>
  <c r="O143" i="27"/>
  <c r="M143" i="27"/>
  <c r="P142" i="27"/>
  <c r="O142" i="27"/>
  <c r="M142" i="27"/>
  <c r="P141" i="27"/>
  <c r="O141" i="27"/>
  <c r="M141" i="27"/>
  <c r="P140" i="27"/>
  <c r="O140" i="27"/>
  <c r="M140" i="27"/>
  <c r="P139" i="27"/>
  <c r="O139" i="27"/>
  <c r="M139" i="27"/>
  <c r="P138" i="27"/>
  <c r="O138" i="27"/>
  <c r="M138" i="27"/>
  <c r="P137" i="27"/>
  <c r="O137" i="27"/>
  <c r="M137" i="27"/>
  <c r="P136" i="27"/>
  <c r="O136" i="27"/>
  <c r="M136" i="27"/>
  <c r="P135" i="27"/>
  <c r="O135" i="27"/>
  <c r="M135" i="27"/>
  <c r="P134" i="27"/>
  <c r="O134" i="27"/>
  <c r="M134" i="27"/>
  <c r="P133" i="27"/>
  <c r="O133" i="27"/>
  <c r="M133" i="27"/>
  <c r="P132" i="27"/>
  <c r="O132" i="27"/>
  <c r="M132" i="27"/>
  <c r="O131" i="27"/>
  <c r="M131" i="27"/>
  <c r="O130" i="27"/>
  <c r="M130" i="27"/>
  <c r="O129" i="27"/>
  <c r="M129" i="27"/>
  <c r="O128" i="27"/>
  <c r="M128" i="27"/>
  <c r="O127" i="27"/>
  <c r="M127" i="27"/>
  <c r="O126" i="27"/>
  <c r="M126" i="27"/>
  <c r="O125" i="27"/>
  <c r="M125" i="27"/>
  <c r="O124" i="27"/>
  <c r="M124" i="27"/>
  <c r="O123" i="27"/>
  <c r="M123" i="27"/>
  <c r="O122" i="27"/>
  <c r="M122" i="27"/>
  <c r="O121" i="27"/>
  <c r="M121" i="27"/>
  <c r="O120" i="27"/>
  <c r="M120" i="27"/>
  <c r="O119" i="27"/>
  <c r="M119" i="27"/>
  <c r="O118" i="27"/>
  <c r="M118" i="27"/>
  <c r="O117" i="27"/>
  <c r="M117" i="27"/>
  <c r="O116" i="27"/>
  <c r="M116" i="27"/>
  <c r="O115" i="27"/>
  <c r="M115" i="27"/>
  <c r="O114" i="27"/>
  <c r="M114" i="27"/>
  <c r="O113" i="27"/>
  <c r="M113" i="27"/>
  <c r="O112" i="27"/>
  <c r="M112" i="27"/>
  <c r="O111" i="27"/>
  <c r="M111" i="27"/>
  <c r="O107" i="27"/>
  <c r="O106" i="27"/>
  <c r="O101" i="27"/>
  <c r="P101" i="27" s="1"/>
  <c r="O100" i="27"/>
  <c r="M100" i="27"/>
  <c r="D97" i="27"/>
  <c r="L94" i="27"/>
  <c r="J94" i="27"/>
  <c r="D92" i="27"/>
  <c r="D90" i="27"/>
  <c r="N73" i="27"/>
  <c r="L73" i="27"/>
  <c r="N72" i="27"/>
  <c r="L72" i="27"/>
  <c r="N71" i="27"/>
  <c r="L71" i="27"/>
  <c r="N70" i="27"/>
  <c r="L70" i="27"/>
  <c r="N69" i="27"/>
  <c r="L69" i="27"/>
  <c r="N68" i="27"/>
  <c r="L68" i="27"/>
  <c r="N67" i="27"/>
  <c r="L67" i="27"/>
  <c r="N66" i="27"/>
  <c r="L66" i="27"/>
  <c r="N65" i="27"/>
  <c r="L65" i="27"/>
  <c r="N64" i="27"/>
  <c r="L64" i="27"/>
  <c r="N63" i="27"/>
  <c r="L63" i="27"/>
  <c r="N62" i="27"/>
  <c r="L62" i="27"/>
  <c r="N61" i="27"/>
  <c r="L61" i="27"/>
  <c r="N60" i="27"/>
  <c r="L60" i="27"/>
  <c r="N59" i="27"/>
  <c r="L59" i="27"/>
  <c r="N58" i="27"/>
  <c r="L58" i="27"/>
  <c r="N57" i="27"/>
  <c r="L57" i="27"/>
  <c r="N56" i="27"/>
  <c r="L56" i="27"/>
  <c r="N55" i="27"/>
  <c r="L55" i="27"/>
  <c r="N54" i="27"/>
  <c r="L54" i="27"/>
  <c r="N53" i="27"/>
  <c r="L53" i="27"/>
  <c r="N52" i="27"/>
  <c r="L52" i="27"/>
  <c r="N51" i="27"/>
  <c r="L51" i="27"/>
  <c r="N50" i="27"/>
  <c r="L50" i="27"/>
  <c r="N49" i="27"/>
  <c r="L49" i="27"/>
  <c r="N48" i="27"/>
  <c r="L48" i="27"/>
  <c r="N47" i="27"/>
  <c r="L47" i="27"/>
  <c r="N46" i="27"/>
  <c r="L46" i="27"/>
  <c r="N45" i="27"/>
  <c r="L45" i="27"/>
  <c r="N44" i="27"/>
  <c r="L44" i="27"/>
  <c r="N43" i="27"/>
  <c r="L43" i="27"/>
  <c r="N42" i="27"/>
  <c r="L42" i="27"/>
  <c r="N41" i="27"/>
  <c r="L41" i="27"/>
  <c r="N40" i="27"/>
  <c r="L40" i="27"/>
  <c r="N39" i="27"/>
  <c r="L39" i="27"/>
  <c r="N38" i="27"/>
  <c r="L38" i="27"/>
  <c r="N37" i="27"/>
  <c r="L37" i="27"/>
  <c r="N36" i="27"/>
  <c r="L36" i="27"/>
  <c r="N35" i="27"/>
  <c r="L35" i="27"/>
  <c r="N34" i="27"/>
  <c r="L34" i="27"/>
  <c r="N31" i="27"/>
  <c r="L31" i="27"/>
  <c r="N30" i="27"/>
  <c r="L30" i="27"/>
  <c r="N29" i="27"/>
  <c r="L29" i="27"/>
  <c r="N26" i="27"/>
  <c r="N25" i="27"/>
  <c r="C17" i="27"/>
  <c r="C18" i="27" s="1"/>
  <c r="C19" i="27" s="1"/>
  <c r="C20" i="27" s="1"/>
  <c r="C21" i="27" s="1"/>
  <c r="C22" i="27" s="1"/>
  <c r="C23" i="27" s="1"/>
  <c r="C24" i="27" s="1"/>
  <c r="C25" i="27" s="1"/>
  <c r="C26" i="27" s="1"/>
  <c r="C27" i="27" s="1"/>
  <c r="C28" i="27" s="1"/>
  <c r="C29" i="27" s="1"/>
  <c r="C30" i="27" s="1"/>
  <c r="C31" i="27" s="1"/>
  <c r="C32" i="27" s="1"/>
  <c r="K11" i="27"/>
  <c r="I11" i="27"/>
  <c r="D91" i="27"/>
  <c r="P155" i="26"/>
  <c r="O155" i="26"/>
  <c r="M155" i="26"/>
  <c r="P154" i="26"/>
  <c r="O154" i="26"/>
  <c r="M154" i="26"/>
  <c r="P153" i="26"/>
  <c r="O153" i="26"/>
  <c r="M153" i="26"/>
  <c r="P152" i="26"/>
  <c r="O152" i="26"/>
  <c r="M152" i="26"/>
  <c r="P151" i="26"/>
  <c r="O151" i="26"/>
  <c r="M151" i="26"/>
  <c r="P150" i="26"/>
  <c r="O150" i="26"/>
  <c r="M150" i="26"/>
  <c r="P149" i="26"/>
  <c r="O149" i="26"/>
  <c r="M149" i="26"/>
  <c r="P148" i="26"/>
  <c r="O148" i="26"/>
  <c r="M148" i="26"/>
  <c r="P147" i="26"/>
  <c r="O147" i="26"/>
  <c r="M147" i="26"/>
  <c r="P146" i="26"/>
  <c r="O146" i="26"/>
  <c r="M146" i="26"/>
  <c r="P145" i="26"/>
  <c r="O145" i="26"/>
  <c r="M145" i="26"/>
  <c r="P144" i="26"/>
  <c r="O144" i="26"/>
  <c r="M144" i="26"/>
  <c r="P143" i="26"/>
  <c r="O143" i="26"/>
  <c r="M143" i="26"/>
  <c r="P142" i="26"/>
  <c r="O142" i="26"/>
  <c r="M142" i="26"/>
  <c r="P141" i="26"/>
  <c r="O141" i="26"/>
  <c r="M141" i="26"/>
  <c r="P140" i="26"/>
  <c r="O140" i="26"/>
  <c r="M140" i="26"/>
  <c r="P139" i="26"/>
  <c r="O139" i="26"/>
  <c r="M139" i="26"/>
  <c r="P138" i="26"/>
  <c r="O138" i="26"/>
  <c r="M138" i="26"/>
  <c r="P137" i="26"/>
  <c r="O137" i="26"/>
  <c r="M137" i="26"/>
  <c r="P136" i="26"/>
  <c r="O136" i="26"/>
  <c r="M136" i="26"/>
  <c r="P135" i="26"/>
  <c r="O135" i="26"/>
  <c r="M135" i="26"/>
  <c r="P134" i="26"/>
  <c r="O134" i="26"/>
  <c r="M134" i="26"/>
  <c r="P133" i="26"/>
  <c r="O133" i="26"/>
  <c r="M133" i="26"/>
  <c r="P132" i="26"/>
  <c r="O132" i="26"/>
  <c r="M132" i="26"/>
  <c r="O131" i="26"/>
  <c r="M131" i="26"/>
  <c r="O130" i="26"/>
  <c r="M130" i="26"/>
  <c r="O129" i="26"/>
  <c r="M129" i="26"/>
  <c r="O128" i="26"/>
  <c r="M128" i="26"/>
  <c r="O127" i="26"/>
  <c r="M127" i="26"/>
  <c r="O126" i="26"/>
  <c r="M126" i="26"/>
  <c r="O125" i="26"/>
  <c r="M125" i="26"/>
  <c r="O124" i="26"/>
  <c r="M124" i="26"/>
  <c r="O123" i="26"/>
  <c r="M123" i="26"/>
  <c r="O122" i="26"/>
  <c r="M122" i="26"/>
  <c r="O121" i="26"/>
  <c r="M121" i="26"/>
  <c r="O120" i="26"/>
  <c r="M120" i="26"/>
  <c r="O119" i="26"/>
  <c r="M119" i="26"/>
  <c r="O118" i="26"/>
  <c r="M118" i="26"/>
  <c r="O117" i="26"/>
  <c r="M117" i="26"/>
  <c r="O116" i="26"/>
  <c r="M116" i="26"/>
  <c r="O115" i="26"/>
  <c r="M115" i="26"/>
  <c r="O114" i="26"/>
  <c r="M114" i="26"/>
  <c r="O113" i="26"/>
  <c r="M113" i="26"/>
  <c r="O112" i="26"/>
  <c r="M112" i="26"/>
  <c r="O111" i="26"/>
  <c r="M111" i="26"/>
  <c r="O107" i="26"/>
  <c r="O106" i="26"/>
  <c r="O105" i="26"/>
  <c r="O100" i="26"/>
  <c r="M100" i="26"/>
  <c r="D97" i="26"/>
  <c r="L94" i="26"/>
  <c r="J94" i="26"/>
  <c r="D92" i="26"/>
  <c r="D91" i="26"/>
  <c r="D90" i="26"/>
  <c r="N73" i="26"/>
  <c r="L73" i="26"/>
  <c r="N72" i="26"/>
  <c r="L72" i="26"/>
  <c r="N71" i="26"/>
  <c r="L71" i="26"/>
  <c r="N70" i="26"/>
  <c r="L70" i="26"/>
  <c r="N69" i="26"/>
  <c r="L69" i="26"/>
  <c r="N68" i="26"/>
  <c r="L68" i="26"/>
  <c r="N67" i="26"/>
  <c r="L67" i="26"/>
  <c r="N66" i="26"/>
  <c r="L66" i="26"/>
  <c r="N65" i="26"/>
  <c r="L65" i="26"/>
  <c r="N64" i="26"/>
  <c r="L64" i="26"/>
  <c r="N63" i="26"/>
  <c r="L63" i="26"/>
  <c r="N62" i="26"/>
  <c r="L62" i="26"/>
  <c r="N61" i="26"/>
  <c r="L61" i="26"/>
  <c r="N60" i="26"/>
  <c r="L60" i="26"/>
  <c r="N59" i="26"/>
  <c r="L59" i="26"/>
  <c r="N58" i="26"/>
  <c r="L58" i="26"/>
  <c r="N57" i="26"/>
  <c r="L57" i="26"/>
  <c r="N56" i="26"/>
  <c r="L56" i="26"/>
  <c r="N55" i="26"/>
  <c r="L55" i="26"/>
  <c r="N54" i="26"/>
  <c r="L54" i="26"/>
  <c r="N53" i="26"/>
  <c r="L53" i="26"/>
  <c r="N52" i="26"/>
  <c r="L52" i="26"/>
  <c r="N51" i="26"/>
  <c r="L51" i="26"/>
  <c r="N50" i="26"/>
  <c r="L50" i="26"/>
  <c r="N49" i="26"/>
  <c r="L49" i="26"/>
  <c r="N48" i="26"/>
  <c r="L48" i="26"/>
  <c r="N47" i="26"/>
  <c r="L47" i="26"/>
  <c r="N46" i="26"/>
  <c r="L46" i="26"/>
  <c r="N45" i="26"/>
  <c r="L45" i="26"/>
  <c r="N44" i="26"/>
  <c r="L44" i="26"/>
  <c r="N43" i="26"/>
  <c r="L43" i="26"/>
  <c r="N42" i="26"/>
  <c r="L42" i="26"/>
  <c r="N41" i="26"/>
  <c r="L41" i="26"/>
  <c r="N40" i="26"/>
  <c r="L40" i="26"/>
  <c r="N39" i="26"/>
  <c r="L39" i="26"/>
  <c r="N38" i="26"/>
  <c r="L38" i="26"/>
  <c r="N37" i="26"/>
  <c r="L37" i="26"/>
  <c r="N36" i="26"/>
  <c r="L36" i="26"/>
  <c r="N35" i="26"/>
  <c r="L35" i="26"/>
  <c r="N34" i="26"/>
  <c r="L34" i="26"/>
  <c r="N31" i="26"/>
  <c r="L31" i="26"/>
  <c r="N30" i="26"/>
  <c r="L30" i="26"/>
  <c r="N29" i="26"/>
  <c r="L29" i="26"/>
  <c r="N26" i="26"/>
  <c r="N25" i="26"/>
  <c r="N24" i="26"/>
  <c r="C17" i="26"/>
  <c r="C18" i="26" s="1"/>
  <c r="C19" i="26" s="1"/>
  <c r="C20" i="26" s="1"/>
  <c r="C21" i="26" s="1"/>
  <c r="C22" i="26" s="1"/>
  <c r="C23" i="26" s="1"/>
  <c r="C24" i="26" s="1"/>
  <c r="C25" i="26" s="1"/>
  <c r="C26" i="26" s="1"/>
  <c r="C27" i="26" s="1"/>
  <c r="C28" i="26" s="1"/>
  <c r="C29" i="26" s="1"/>
  <c r="C30" i="26" s="1"/>
  <c r="C31" i="26" s="1"/>
  <c r="C32" i="26" s="1"/>
  <c r="K11" i="26"/>
  <c r="I11" i="26"/>
  <c r="P155" i="25"/>
  <c r="O155" i="25"/>
  <c r="M155" i="25"/>
  <c r="J155" i="25"/>
  <c r="P154" i="25"/>
  <c r="O154" i="25"/>
  <c r="M154" i="25"/>
  <c r="J154" i="25"/>
  <c r="P153" i="25"/>
  <c r="O153" i="25"/>
  <c r="M153" i="25"/>
  <c r="J153" i="25"/>
  <c r="P152" i="25"/>
  <c r="O152" i="25"/>
  <c r="M152" i="25"/>
  <c r="J152" i="25"/>
  <c r="P151" i="25"/>
  <c r="O151" i="25"/>
  <c r="M151" i="25"/>
  <c r="J151" i="25"/>
  <c r="P150" i="25"/>
  <c r="O150" i="25"/>
  <c r="M150" i="25"/>
  <c r="J150" i="25"/>
  <c r="P149" i="25"/>
  <c r="O149" i="25"/>
  <c r="M149" i="25"/>
  <c r="J149" i="25"/>
  <c r="P148" i="25"/>
  <c r="O148" i="25"/>
  <c r="M148" i="25"/>
  <c r="J148" i="25"/>
  <c r="P147" i="25"/>
  <c r="O147" i="25"/>
  <c r="M147" i="25"/>
  <c r="J147" i="25"/>
  <c r="P146" i="25"/>
  <c r="O146" i="25"/>
  <c r="M146" i="25"/>
  <c r="J146" i="25"/>
  <c r="P145" i="25"/>
  <c r="O145" i="25"/>
  <c r="M145" i="25"/>
  <c r="J145" i="25"/>
  <c r="P144" i="25"/>
  <c r="O144" i="25"/>
  <c r="M144" i="25"/>
  <c r="J144" i="25"/>
  <c r="P143" i="25"/>
  <c r="O143" i="25"/>
  <c r="M143" i="25"/>
  <c r="J143" i="25"/>
  <c r="P142" i="25"/>
  <c r="O142" i="25"/>
  <c r="M142" i="25"/>
  <c r="J142" i="25"/>
  <c r="P141" i="25"/>
  <c r="O141" i="25"/>
  <c r="M141" i="25"/>
  <c r="J141" i="25"/>
  <c r="P140" i="25"/>
  <c r="O140" i="25"/>
  <c r="M140" i="25"/>
  <c r="J140" i="25"/>
  <c r="P139" i="25"/>
  <c r="O139" i="25"/>
  <c r="M139" i="25"/>
  <c r="J139" i="25"/>
  <c r="P138" i="25"/>
  <c r="O138" i="25"/>
  <c r="M138" i="25"/>
  <c r="J138" i="25"/>
  <c r="P137" i="25"/>
  <c r="O137" i="25"/>
  <c r="M137" i="25"/>
  <c r="J137" i="25"/>
  <c r="P136" i="25"/>
  <c r="O136" i="25"/>
  <c r="M136" i="25"/>
  <c r="J136" i="25"/>
  <c r="P135" i="25"/>
  <c r="O135" i="25"/>
  <c r="M135" i="25"/>
  <c r="J135" i="25"/>
  <c r="P134" i="25"/>
  <c r="O134" i="25"/>
  <c r="M134" i="25"/>
  <c r="J134" i="25"/>
  <c r="P133" i="25"/>
  <c r="O133" i="25"/>
  <c r="M133" i="25"/>
  <c r="J133" i="25"/>
  <c r="P132" i="25"/>
  <c r="O132" i="25"/>
  <c r="M132" i="25"/>
  <c r="J132" i="25"/>
  <c r="O131" i="25"/>
  <c r="M131" i="25"/>
  <c r="O130" i="25"/>
  <c r="M130" i="25"/>
  <c r="O129" i="25"/>
  <c r="M129" i="25"/>
  <c r="O128" i="25"/>
  <c r="M128" i="25"/>
  <c r="O127" i="25"/>
  <c r="M127" i="25"/>
  <c r="O126" i="25"/>
  <c r="M126" i="25"/>
  <c r="O125" i="25"/>
  <c r="M125" i="25"/>
  <c r="O124" i="25"/>
  <c r="M124" i="25"/>
  <c r="O123" i="25"/>
  <c r="M123" i="25"/>
  <c r="O122" i="25"/>
  <c r="M122" i="25"/>
  <c r="O121" i="25"/>
  <c r="M121" i="25"/>
  <c r="O120" i="25"/>
  <c r="M120" i="25"/>
  <c r="O119" i="25"/>
  <c r="M119" i="25"/>
  <c r="O118" i="25"/>
  <c r="M118" i="25"/>
  <c r="O117" i="25"/>
  <c r="M117" i="25"/>
  <c r="O116" i="25"/>
  <c r="M116" i="25"/>
  <c r="O115" i="25"/>
  <c r="M115" i="25"/>
  <c r="O114" i="25"/>
  <c r="M114" i="25"/>
  <c r="O113" i="25"/>
  <c r="M113" i="25"/>
  <c r="O112" i="25"/>
  <c r="M112" i="25"/>
  <c r="O111" i="25"/>
  <c r="M111" i="25"/>
  <c r="O110" i="25"/>
  <c r="M110" i="25"/>
  <c r="O106" i="25"/>
  <c r="O105" i="25"/>
  <c r="O104" i="25"/>
  <c r="D97" i="25"/>
  <c r="L94" i="25"/>
  <c r="J94" i="25"/>
  <c r="D92" i="25"/>
  <c r="D90" i="25"/>
  <c r="N73" i="25"/>
  <c r="L73" i="25"/>
  <c r="N72" i="25"/>
  <c r="L72" i="25"/>
  <c r="N71" i="25"/>
  <c r="L71" i="25"/>
  <c r="N70" i="25"/>
  <c r="L70" i="25"/>
  <c r="N69" i="25"/>
  <c r="L69" i="25"/>
  <c r="N68" i="25"/>
  <c r="L68" i="25"/>
  <c r="N67" i="25"/>
  <c r="L67" i="25"/>
  <c r="N66" i="25"/>
  <c r="L66" i="25"/>
  <c r="N65" i="25"/>
  <c r="L65" i="25"/>
  <c r="N64" i="25"/>
  <c r="L64" i="25"/>
  <c r="N63" i="25"/>
  <c r="L63" i="25"/>
  <c r="N62" i="25"/>
  <c r="L62" i="25"/>
  <c r="N61" i="25"/>
  <c r="L61" i="25"/>
  <c r="N60" i="25"/>
  <c r="L60" i="25"/>
  <c r="N59" i="25"/>
  <c r="L59" i="25"/>
  <c r="N58" i="25"/>
  <c r="L58" i="25"/>
  <c r="N57" i="25"/>
  <c r="L57" i="25"/>
  <c r="N56" i="25"/>
  <c r="L56" i="25"/>
  <c r="N55" i="25"/>
  <c r="L55" i="25"/>
  <c r="N54" i="25"/>
  <c r="L54" i="25"/>
  <c r="N53" i="25"/>
  <c r="L53" i="25"/>
  <c r="N52" i="25"/>
  <c r="L52" i="25"/>
  <c r="N51" i="25"/>
  <c r="L51" i="25"/>
  <c r="N50" i="25"/>
  <c r="L50" i="25"/>
  <c r="N49" i="25"/>
  <c r="L49" i="25"/>
  <c r="N48" i="25"/>
  <c r="L48" i="25"/>
  <c r="N47" i="25"/>
  <c r="L47" i="25"/>
  <c r="N46" i="25"/>
  <c r="L46" i="25"/>
  <c r="N45" i="25"/>
  <c r="L45" i="25"/>
  <c r="N44" i="25"/>
  <c r="L44" i="25"/>
  <c r="N43" i="25"/>
  <c r="L43" i="25"/>
  <c r="N42" i="25"/>
  <c r="L42" i="25"/>
  <c r="N41" i="25"/>
  <c r="L41" i="25"/>
  <c r="N40" i="25"/>
  <c r="L40" i="25"/>
  <c r="N39" i="25"/>
  <c r="L39" i="25"/>
  <c r="N38" i="25"/>
  <c r="L38" i="25"/>
  <c r="N37" i="25"/>
  <c r="L37" i="25"/>
  <c r="N36" i="25"/>
  <c r="L36" i="25"/>
  <c r="N35" i="25"/>
  <c r="L35" i="25"/>
  <c r="N34" i="25"/>
  <c r="L34" i="25"/>
  <c r="N31" i="25"/>
  <c r="L31" i="25"/>
  <c r="N30" i="25"/>
  <c r="L30" i="25"/>
  <c r="N29" i="25"/>
  <c r="L29" i="25"/>
  <c r="N28" i="25"/>
  <c r="L28" i="25"/>
  <c r="N25" i="25"/>
  <c r="N24" i="25"/>
  <c r="N23" i="25"/>
  <c r="N22" i="25"/>
  <c r="C17" i="25"/>
  <c r="C18" i="25" s="1"/>
  <c r="C19" i="25" s="1"/>
  <c r="C20" i="25" s="1"/>
  <c r="C21" i="25" s="1"/>
  <c r="C22" i="25" s="1"/>
  <c r="C23" i="25" s="1"/>
  <c r="C24" i="25" s="1"/>
  <c r="C25" i="25" s="1"/>
  <c r="C26" i="25" s="1"/>
  <c r="C27" i="25" s="1"/>
  <c r="C28" i="25" s="1"/>
  <c r="C29" i="25" s="1"/>
  <c r="C30" i="25" s="1"/>
  <c r="C31" i="25" s="1"/>
  <c r="C32" i="25" s="1"/>
  <c r="K11" i="25"/>
  <c r="I11" i="25"/>
  <c r="D8" i="25"/>
  <c r="D91" i="25" s="1"/>
  <c r="P155" i="24"/>
  <c r="O155" i="24"/>
  <c r="M155" i="24"/>
  <c r="P154" i="24"/>
  <c r="O154" i="24"/>
  <c r="M154" i="24"/>
  <c r="P153" i="24"/>
  <c r="O153" i="24"/>
  <c r="M153" i="24"/>
  <c r="P152" i="24"/>
  <c r="O152" i="24"/>
  <c r="M152" i="24"/>
  <c r="P151" i="24"/>
  <c r="O151" i="24"/>
  <c r="M151" i="24"/>
  <c r="P150" i="24"/>
  <c r="O150" i="24"/>
  <c r="M150" i="24"/>
  <c r="P149" i="24"/>
  <c r="O149" i="24"/>
  <c r="M149" i="24"/>
  <c r="P148" i="24"/>
  <c r="O148" i="24"/>
  <c r="M148" i="24"/>
  <c r="P147" i="24"/>
  <c r="O147" i="24"/>
  <c r="M147" i="24"/>
  <c r="P146" i="24"/>
  <c r="O146" i="24"/>
  <c r="M146" i="24"/>
  <c r="P145" i="24"/>
  <c r="O145" i="24"/>
  <c r="M145" i="24"/>
  <c r="P144" i="24"/>
  <c r="O144" i="24"/>
  <c r="M144" i="24"/>
  <c r="P143" i="24"/>
  <c r="O143" i="24"/>
  <c r="M143" i="24"/>
  <c r="P142" i="24"/>
  <c r="O142" i="24"/>
  <c r="M142" i="24"/>
  <c r="P141" i="24"/>
  <c r="O141" i="24"/>
  <c r="M141" i="24"/>
  <c r="P140" i="24"/>
  <c r="O140" i="24"/>
  <c r="M140" i="24"/>
  <c r="P139" i="24"/>
  <c r="O139" i="24"/>
  <c r="M139" i="24"/>
  <c r="P138" i="24"/>
  <c r="O138" i="24"/>
  <c r="M138" i="24"/>
  <c r="P137" i="24"/>
  <c r="O137" i="24"/>
  <c r="M137" i="24"/>
  <c r="P136" i="24"/>
  <c r="O136" i="24"/>
  <c r="M136" i="24"/>
  <c r="P135" i="24"/>
  <c r="O135" i="24"/>
  <c r="M135" i="24"/>
  <c r="P134" i="24"/>
  <c r="O134" i="24"/>
  <c r="M134" i="24"/>
  <c r="P133" i="24"/>
  <c r="O133" i="24"/>
  <c r="M133" i="24"/>
  <c r="P132" i="24"/>
  <c r="O132" i="24"/>
  <c r="M132" i="24"/>
  <c r="O131" i="24"/>
  <c r="M131" i="24"/>
  <c r="O130" i="24"/>
  <c r="M130" i="24"/>
  <c r="O129" i="24"/>
  <c r="M129" i="24"/>
  <c r="O128" i="24"/>
  <c r="M128" i="24"/>
  <c r="O127" i="24"/>
  <c r="M127" i="24"/>
  <c r="O126" i="24"/>
  <c r="M126" i="24"/>
  <c r="O125" i="24"/>
  <c r="M125" i="24"/>
  <c r="O124" i="24"/>
  <c r="M124" i="24"/>
  <c r="O123" i="24"/>
  <c r="M123" i="24"/>
  <c r="O122" i="24"/>
  <c r="M122" i="24"/>
  <c r="O121" i="24"/>
  <c r="M121" i="24"/>
  <c r="O120" i="24"/>
  <c r="M120" i="24"/>
  <c r="O119" i="24"/>
  <c r="M119" i="24"/>
  <c r="O118" i="24"/>
  <c r="M118" i="24"/>
  <c r="O117" i="24"/>
  <c r="M117" i="24"/>
  <c r="O116" i="24"/>
  <c r="M116" i="24"/>
  <c r="O115" i="24"/>
  <c r="M115" i="24"/>
  <c r="O114" i="24"/>
  <c r="M114" i="24"/>
  <c r="O113" i="24"/>
  <c r="M113" i="24"/>
  <c r="O112" i="24"/>
  <c r="M112" i="24"/>
  <c r="O108" i="24"/>
  <c r="O107" i="24"/>
  <c r="O101" i="24"/>
  <c r="M101" i="24"/>
  <c r="O100" i="24"/>
  <c r="M100" i="24"/>
  <c r="D97" i="24"/>
  <c r="L94" i="24"/>
  <c r="J94" i="24"/>
  <c r="D92" i="24"/>
  <c r="D90" i="24"/>
  <c r="N73" i="24"/>
  <c r="L73" i="24"/>
  <c r="N72" i="24"/>
  <c r="L72" i="24"/>
  <c r="N71" i="24"/>
  <c r="L71" i="24"/>
  <c r="N70" i="24"/>
  <c r="L70" i="24"/>
  <c r="N69" i="24"/>
  <c r="L69" i="24"/>
  <c r="N68" i="24"/>
  <c r="L68" i="24"/>
  <c r="N67" i="24"/>
  <c r="L67" i="24"/>
  <c r="N66" i="24"/>
  <c r="L66" i="24"/>
  <c r="N65" i="24"/>
  <c r="L65" i="24"/>
  <c r="N64" i="24"/>
  <c r="L64" i="24"/>
  <c r="N63" i="24"/>
  <c r="L63" i="24"/>
  <c r="N62" i="24"/>
  <c r="L62" i="24"/>
  <c r="N61" i="24"/>
  <c r="L61" i="24"/>
  <c r="N60" i="24"/>
  <c r="L60" i="24"/>
  <c r="N59" i="24"/>
  <c r="L59" i="24"/>
  <c r="N58" i="24"/>
  <c r="L58" i="24"/>
  <c r="N57" i="24"/>
  <c r="L57" i="24"/>
  <c r="N56" i="24"/>
  <c r="L56" i="24"/>
  <c r="N55" i="24"/>
  <c r="L55" i="24"/>
  <c r="N54" i="24"/>
  <c r="L54" i="24"/>
  <c r="N53" i="24"/>
  <c r="L53" i="24"/>
  <c r="N52" i="24"/>
  <c r="L52" i="24"/>
  <c r="N51" i="24"/>
  <c r="L51" i="24"/>
  <c r="N50" i="24"/>
  <c r="L50" i="24"/>
  <c r="N49" i="24"/>
  <c r="L49" i="24"/>
  <c r="N48" i="24"/>
  <c r="L48" i="24"/>
  <c r="N47" i="24"/>
  <c r="L47" i="24"/>
  <c r="N46" i="24"/>
  <c r="L46" i="24"/>
  <c r="N45" i="24"/>
  <c r="L45" i="24"/>
  <c r="N44" i="24"/>
  <c r="L44" i="24"/>
  <c r="N43" i="24"/>
  <c r="L43" i="24"/>
  <c r="N42" i="24"/>
  <c r="L42" i="24"/>
  <c r="N41" i="24"/>
  <c r="L41" i="24"/>
  <c r="N40" i="24"/>
  <c r="L40" i="24"/>
  <c r="N39" i="24"/>
  <c r="L39" i="24"/>
  <c r="N38" i="24"/>
  <c r="L38" i="24"/>
  <c r="N37" i="24"/>
  <c r="L37" i="24"/>
  <c r="N36" i="24"/>
  <c r="L36" i="24"/>
  <c r="N35" i="24"/>
  <c r="L35" i="24"/>
  <c r="N34" i="24"/>
  <c r="L34" i="24"/>
  <c r="N31" i="24"/>
  <c r="L31" i="24"/>
  <c r="N30" i="24"/>
  <c r="L30" i="24"/>
  <c r="N27" i="24"/>
  <c r="N26" i="24"/>
  <c r="N25" i="24"/>
  <c r="N24" i="24"/>
  <c r="C17" i="24"/>
  <c r="C18" i="24" s="1"/>
  <c r="C19" i="24" s="1"/>
  <c r="C20" i="24" s="1"/>
  <c r="C21" i="24" s="1"/>
  <c r="C22" i="24" s="1"/>
  <c r="C23" i="24" s="1"/>
  <c r="C24" i="24" s="1"/>
  <c r="C25" i="24" s="1"/>
  <c r="C26" i="24" s="1"/>
  <c r="C27" i="24" s="1"/>
  <c r="C28" i="24" s="1"/>
  <c r="C29" i="24" s="1"/>
  <c r="C30" i="24" s="1"/>
  <c r="C31" i="24" s="1"/>
  <c r="C32" i="24" s="1"/>
  <c r="K11" i="24"/>
  <c r="I11" i="24"/>
  <c r="D91" i="24"/>
  <c r="M17" i="23"/>
  <c r="N17" i="23" s="1"/>
  <c r="K17" i="23"/>
  <c r="L17" i="23" s="1"/>
  <c r="M17" i="22"/>
  <c r="N17" i="22" s="1"/>
  <c r="K17" i="22"/>
  <c r="L17" i="22" s="1"/>
  <c r="N101" i="21"/>
  <c r="O101" i="21" s="1"/>
  <c r="L101" i="21"/>
  <c r="M101" i="21" s="1"/>
  <c r="M18" i="21"/>
  <c r="N18" i="21" s="1"/>
  <c r="K18" i="21"/>
  <c r="L18" i="21" s="1"/>
  <c r="N102" i="19"/>
  <c r="O102" i="19" s="1"/>
  <c r="L102" i="19"/>
  <c r="M102" i="19" s="1"/>
  <c r="M20" i="19"/>
  <c r="N20" i="19" s="1"/>
  <c r="K20" i="19"/>
  <c r="L20" i="19" s="1"/>
  <c r="M20" i="18"/>
  <c r="N20" i="18" s="1"/>
  <c r="K20" i="18"/>
  <c r="L20" i="18" s="1"/>
  <c r="N103" i="4"/>
  <c r="O103" i="4" s="1"/>
  <c r="L103" i="4"/>
  <c r="M103" i="4" s="1"/>
  <c r="M21" i="4"/>
  <c r="N21" i="4" s="1"/>
  <c r="K21" i="4"/>
  <c r="L21" i="4" s="1"/>
  <c r="N103" i="3"/>
  <c r="O103" i="3" s="1"/>
  <c r="L103" i="3"/>
  <c r="M103" i="3" s="1"/>
  <c r="M21" i="3"/>
  <c r="N21" i="3" s="1"/>
  <c r="K21" i="3"/>
  <c r="L21" i="3" s="1"/>
  <c r="D8" i="23"/>
  <c r="D91" i="23" s="1"/>
  <c r="D8" i="22"/>
  <c r="D91" i="22" s="1"/>
  <c r="D8" i="21"/>
  <c r="D91" i="21" s="1"/>
  <c r="D8" i="18"/>
  <c r="D91" i="18" s="1"/>
  <c r="D8" i="4"/>
  <c r="D91" i="4" s="1"/>
  <c r="D8" i="3"/>
  <c r="D91" i="3" s="1"/>
  <c r="D8" i="13"/>
  <c r="D91" i="13" s="1"/>
  <c r="W25" i="17"/>
  <c r="W24" i="17"/>
  <c r="P155" i="23"/>
  <c r="O155" i="23"/>
  <c r="M155" i="23"/>
  <c r="P154" i="23"/>
  <c r="O154" i="23"/>
  <c r="M154" i="23"/>
  <c r="P153" i="23"/>
  <c r="O153" i="23"/>
  <c r="M153" i="23"/>
  <c r="P152" i="23"/>
  <c r="O152" i="23"/>
  <c r="M152" i="23"/>
  <c r="P151" i="23"/>
  <c r="O151" i="23"/>
  <c r="M151" i="23"/>
  <c r="P150" i="23"/>
  <c r="O150" i="23"/>
  <c r="M150" i="23"/>
  <c r="P149" i="23"/>
  <c r="O149" i="23"/>
  <c r="M149" i="23"/>
  <c r="P148" i="23"/>
  <c r="O148" i="23"/>
  <c r="M148" i="23"/>
  <c r="P147" i="23"/>
  <c r="O147" i="23"/>
  <c r="M147" i="23"/>
  <c r="P146" i="23"/>
  <c r="O146" i="23"/>
  <c r="M146" i="23"/>
  <c r="P145" i="23"/>
  <c r="O145" i="23"/>
  <c r="M145" i="23"/>
  <c r="P144" i="23"/>
  <c r="O144" i="23"/>
  <c r="M144" i="23"/>
  <c r="P143" i="23"/>
  <c r="O143" i="23"/>
  <c r="M143" i="23"/>
  <c r="P142" i="23"/>
  <c r="O142" i="23"/>
  <c r="M142" i="23"/>
  <c r="P141" i="23"/>
  <c r="O141" i="23"/>
  <c r="M141" i="23"/>
  <c r="P140" i="23"/>
  <c r="O140" i="23"/>
  <c r="M140" i="23"/>
  <c r="P139" i="23"/>
  <c r="O139" i="23"/>
  <c r="M139" i="23"/>
  <c r="P138" i="23"/>
  <c r="O138" i="23"/>
  <c r="M138" i="23"/>
  <c r="P137" i="23"/>
  <c r="O137" i="23"/>
  <c r="M137" i="23"/>
  <c r="P136" i="23"/>
  <c r="O136" i="23"/>
  <c r="M136" i="23"/>
  <c r="P135" i="23"/>
  <c r="O135" i="23"/>
  <c r="M135" i="23"/>
  <c r="P134" i="23"/>
  <c r="O134" i="23"/>
  <c r="M134" i="23"/>
  <c r="P133" i="23"/>
  <c r="O133" i="23"/>
  <c r="M133" i="23"/>
  <c r="P132" i="23"/>
  <c r="O132" i="23"/>
  <c r="M132" i="23"/>
  <c r="O131" i="23"/>
  <c r="M131" i="23"/>
  <c r="O130" i="23"/>
  <c r="M130" i="23"/>
  <c r="O129" i="23"/>
  <c r="M129" i="23"/>
  <c r="O128" i="23"/>
  <c r="M128" i="23"/>
  <c r="O127" i="23"/>
  <c r="M127" i="23"/>
  <c r="O126" i="23"/>
  <c r="M126" i="23"/>
  <c r="O125" i="23"/>
  <c r="M125" i="23"/>
  <c r="O124" i="23"/>
  <c r="M124" i="23"/>
  <c r="O123" i="23"/>
  <c r="M123" i="23"/>
  <c r="O122" i="23"/>
  <c r="M122" i="23"/>
  <c r="O121" i="23"/>
  <c r="M121" i="23"/>
  <c r="O120" i="23"/>
  <c r="M120" i="23"/>
  <c r="O119" i="23"/>
  <c r="M119" i="23"/>
  <c r="O118" i="23"/>
  <c r="M118" i="23"/>
  <c r="O117" i="23"/>
  <c r="M117" i="23"/>
  <c r="O116" i="23"/>
  <c r="M116" i="23"/>
  <c r="O115" i="23"/>
  <c r="M115" i="23"/>
  <c r="O114" i="23"/>
  <c r="M114" i="23"/>
  <c r="O113" i="23"/>
  <c r="M113" i="23"/>
  <c r="O112" i="23"/>
  <c r="M112" i="23"/>
  <c r="O111" i="23"/>
  <c r="M111" i="23"/>
  <c r="O110" i="23"/>
  <c r="M110" i="23"/>
  <c r="O107" i="23"/>
  <c r="O106" i="23"/>
  <c r="D97" i="23"/>
  <c r="L94" i="23"/>
  <c r="J94" i="23"/>
  <c r="D92" i="23"/>
  <c r="D90" i="23"/>
  <c r="N73" i="23"/>
  <c r="L73" i="23"/>
  <c r="N72" i="23"/>
  <c r="L72" i="23"/>
  <c r="N71" i="23"/>
  <c r="L71" i="23"/>
  <c r="N70" i="23"/>
  <c r="L70" i="23"/>
  <c r="N69" i="23"/>
  <c r="L69" i="23"/>
  <c r="N68" i="23"/>
  <c r="L68" i="23"/>
  <c r="N67" i="23"/>
  <c r="L67" i="23"/>
  <c r="N66" i="23"/>
  <c r="L66" i="23"/>
  <c r="N65" i="23"/>
  <c r="L65" i="23"/>
  <c r="N64" i="23"/>
  <c r="L64" i="23"/>
  <c r="N63" i="23"/>
  <c r="L63" i="23"/>
  <c r="N62" i="23"/>
  <c r="L62" i="23"/>
  <c r="N61" i="23"/>
  <c r="L61" i="23"/>
  <c r="N60" i="23"/>
  <c r="L60" i="23"/>
  <c r="N59" i="23"/>
  <c r="L59" i="23"/>
  <c r="N58" i="23"/>
  <c r="L58" i="23"/>
  <c r="N57" i="23"/>
  <c r="L57" i="23"/>
  <c r="N56" i="23"/>
  <c r="L56" i="23"/>
  <c r="N55" i="23"/>
  <c r="L55" i="23"/>
  <c r="N54" i="23"/>
  <c r="L54" i="23"/>
  <c r="N53" i="23"/>
  <c r="L53" i="23"/>
  <c r="N52" i="23"/>
  <c r="L52" i="23"/>
  <c r="N51" i="23"/>
  <c r="L51" i="23"/>
  <c r="N50" i="23"/>
  <c r="L50" i="23"/>
  <c r="N49" i="23"/>
  <c r="L49" i="23"/>
  <c r="N48" i="23"/>
  <c r="L48" i="23"/>
  <c r="N47" i="23"/>
  <c r="L47" i="23"/>
  <c r="N46" i="23"/>
  <c r="L46" i="23"/>
  <c r="N45" i="23"/>
  <c r="L45" i="23"/>
  <c r="N44" i="23"/>
  <c r="L44" i="23"/>
  <c r="N43" i="23"/>
  <c r="L43" i="23"/>
  <c r="N42" i="23"/>
  <c r="L42" i="23"/>
  <c r="N41" i="23"/>
  <c r="L41" i="23"/>
  <c r="N40" i="23"/>
  <c r="L40" i="23"/>
  <c r="N39" i="23"/>
  <c r="L39" i="23"/>
  <c r="N38" i="23"/>
  <c r="L38" i="23"/>
  <c r="N37" i="23"/>
  <c r="L37" i="23"/>
  <c r="N36" i="23"/>
  <c r="L36" i="23"/>
  <c r="N35" i="23"/>
  <c r="L35" i="23"/>
  <c r="N34" i="23"/>
  <c r="L34" i="23"/>
  <c r="N31" i="23"/>
  <c r="L31" i="23"/>
  <c r="N30" i="23"/>
  <c r="L30" i="23"/>
  <c r="N29" i="23"/>
  <c r="L29" i="23"/>
  <c r="N26" i="23"/>
  <c r="N25" i="23"/>
  <c r="N24" i="23"/>
  <c r="N23" i="23"/>
  <c r="C17" i="23"/>
  <c r="C18" i="23" s="1"/>
  <c r="C19" i="23" s="1"/>
  <c r="C20" i="23" s="1"/>
  <c r="C21" i="23" s="1"/>
  <c r="C22" i="23" s="1"/>
  <c r="C23" i="23" s="1"/>
  <c r="C24" i="23" s="1"/>
  <c r="C25" i="23" s="1"/>
  <c r="C26" i="23" s="1"/>
  <c r="C27" i="23" s="1"/>
  <c r="C28" i="23" s="1"/>
  <c r="C29" i="23" s="1"/>
  <c r="C30" i="23" s="1"/>
  <c r="C31" i="23" s="1"/>
  <c r="C32" i="23" s="1"/>
  <c r="K11" i="23"/>
  <c r="I11" i="23"/>
  <c r="P155" i="22"/>
  <c r="O155" i="22"/>
  <c r="M155" i="22"/>
  <c r="P154" i="22"/>
  <c r="O154" i="22"/>
  <c r="M154" i="22"/>
  <c r="P153" i="22"/>
  <c r="O153" i="22"/>
  <c r="M153" i="22"/>
  <c r="P152" i="22"/>
  <c r="O152" i="22"/>
  <c r="M152" i="22"/>
  <c r="P151" i="22"/>
  <c r="O151" i="22"/>
  <c r="M151" i="22"/>
  <c r="P150" i="22"/>
  <c r="O150" i="22"/>
  <c r="M150" i="22"/>
  <c r="P149" i="22"/>
  <c r="O149" i="22"/>
  <c r="M149" i="22"/>
  <c r="P148" i="22"/>
  <c r="O148" i="22"/>
  <c r="M148" i="22"/>
  <c r="P147" i="22"/>
  <c r="O147" i="22"/>
  <c r="M147" i="22"/>
  <c r="P146" i="22"/>
  <c r="O146" i="22"/>
  <c r="M146" i="22"/>
  <c r="P145" i="22"/>
  <c r="O145" i="22"/>
  <c r="M145" i="22"/>
  <c r="P144" i="22"/>
  <c r="O144" i="22"/>
  <c r="M144" i="22"/>
  <c r="P143" i="22"/>
  <c r="O143" i="22"/>
  <c r="M143" i="22"/>
  <c r="P142" i="22"/>
  <c r="O142" i="22"/>
  <c r="M142" i="22"/>
  <c r="P141" i="22"/>
  <c r="O141" i="22"/>
  <c r="M141" i="22"/>
  <c r="P140" i="22"/>
  <c r="O140" i="22"/>
  <c r="M140" i="22"/>
  <c r="P139" i="22"/>
  <c r="O139" i="22"/>
  <c r="M139" i="22"/>
  <c r="P138" i="22"/>
  <c r="O138" i="22"/>
  <c r="M138" i="22"/>
  <c r="P137" i="22"/>
  <c r="O137" i="22"/>
  <c r="M137" i="22"/>
  <c r="P136" i="22"/>
  <c r="O136" i="22"/>
  <c r="M136" i="22"/>
  <c r="P135" i="22"/>
  <c r="O135" i="22"/>
  <c r="M135" i="22"/>
  <c r="P134" i="22"/>
  <c r="O134" i="22"/>
  <c r="M134" i="22"/>
  <c r="P133" i="22"/>
  <c r="O133" i="22"/>
  <c r="M133" i="22"/>
  <c r="P132" i="22"/>
  <c r="O132" i="22"/>
  <c r="M132" i="22"/>
  <c r="O131" i="22"/>
  <c r="M131" i="22"/>
  <c r="O130" i="22"/>
  <c r="M130" i="22"/>
  <c r="O129" i="22"/>
  <c r="M129" i="22"/>
  <c r="O128" i="22"/>
  <c r="M128" i="22"/>
  <c r="O127" i="22"/>
  <c r="M127" i="22"/>
  <c r="O126" i="22"/>
  <c r="M126" i="22"/>
  <c r="O125" i="22"/>
  <c r="M125" i="22"/>
  <c r="O124" i="22"/>
  <c r="M124" i="22"/>
  <c r="O123" i="22"/>
  <c r="M123" i="22"/>
  <c r="O122" i="22"/>
  <c r="M122" i="22"/>
  <c r="O121" i="22"/>
  <c r="M121" i="22"/>
  <c r="O120" i="22"/>
  <c r="M120" i="22"/>
  <c r="O119" i="22"/>
  <c r="M119" i="22"/>
  <c r="O118" i="22"/>
  <c r="M118" i="22"/>
  <c r="O117" i="22"/>
  <c r="M117" i="22"/>
  <c r="O116" i="22"/>
  <c r="M116" i="22"/>
  <c r="O115" i="22"/>
  <c r="M115" i="22"/>
  <c r="O114" i="22"/>
  <c r="M114" i="22"/>
  <c r="O113" i="22"/>
  <c r="M113" i="22"/>
  <c r="O112" i="22"/>
  <c r="M112" i="22"/>
  <c r="O111" i="22"/>
  <c r="M111" i="22"/>
  <c r="O107" i="22"/>
  <c r="O106" i="22"/>
  <c r="D97" i="22"/>
  <c r="L94" i="22"/>
  <c r="J94" i="22"/>
  <c r="D92" i="22"/>
  <c r="D90" i="22"/>
  <c r="N73" i="22"/>
  <c r="L73" i="22"/>
  <c r="N72" i="22"/>
  <c r="L72" i="22"/>
  <c r="N71" i="22"/>
  <c r="L71" i="22"/>
  <c r="N70" i="22"/>
  <c r="L70" i="22"/>
  <c r="N69" i="22"/>
  <c r="L69" i="22"/>
  <c r="N68" i="22"/>
  <c r="L68" i="22"/>
  <c r="N67" i="22"/>
  <c r="L67" i="22"/>
  <c r="N66" i="22"/>
  <c r="L66" i="22"/>
  <c r="N65" i="22"/>
  <c r="L65" i="22"/>
  <c r="N64" i="22"/>
  <c r="L64" i="22"/>
  <c r="N63" i="22"/>
  <c r="L63" i="22"/>
  <c r="N62" i="22"/>
  <c r="L62" i="22"/>
  <c r="N61" i="22"/>
  <c r="L61" i="22"/>
  <c r="N60" i="22"/>
  <c r="L60" i="22"/>
  <c r="N59" i="22"/>
  <c r="L59" i="22"/>
  <c r="N58" i="22"/>
  <c r="L58" i="22"/>
  <c r="N57" i="22"/>
  <c r="L57" i="22"/>
  <c r="N56" i="22"/>
  <c r="L56" i="22"/>
  <c r="N55" i="22"/>
  <c r="L55" i="22"/>
  <c r="N54" i="22"/>
  <c r="L54" i="22"/>
  <c r="N53" i="22"/>
  <c r="L53" i="22"/>
  <c r="N52" i="22"/>
  <c r="L52" i="22"/>
  <c r="N51" i="22"/>
  <c r="L51" i="22"/>
  <c r="N50" i="22"/>
  <c r="L50" i="22"/>
  <c r="N49" i="22"/>
  <c r="L49" i="22"/>
  <c r="N48" i="22"/>
  <c r="L48" i="22"/>
  <c r="N47" i="22"/>
  <c r="L47" i="22"/>
  <c r="N46" i="22"/>
  <c r="L46" i="22"/>
  <c r="N45" i="22"/>
  <c r="L45" i="22"/>
  <c r="N44" i="22"/>
  <c r="L44" i="22"/>
  <c r="N43" i="22"/>
  <c r="L43" i="22"/>
  <c r="N42" i="22"/>
  <c r="L42" i="22"/>
  <c r="N41" i="22"/>
  <c r="L41" i="22"/>
  <c r="N40" i="22"/>
  <c r="L40" i="22"/>
  <c r="N39" i="22"/>
  <c r="L39" i="22"/>
  <c r="N38" i="22"/>
  <c r="L38" i="22"/>
  <c r="N37" i="22"/>
  <c r="L37" i="22"/>
  <c r="N36" i="22"/>
  <c r="L36" i="22"/>
  <c r="N35" i="22"/>
  <c r="L35" i="22"/>
  <c r="N34" i="22"/>
  <c r="L34" i="22"/>
  <c r="N33" i="22"/>
  <c r="L33" i="22"/>
  <c r="N31" i="22"/>
  <c r="L31" i="22"/>
  <c r="N30" i="22"/>
  <c r="L30" i="22"/>
  <c r="N29" i="22"/>
  <c r="L29" i="22"/>
  <c r="N26" i="22"/>
  <c r="N25" i="22"/>
  <c r="N24" i="22"/>
  <c r="N23" i="22"/>
  <c r="C17" i="22"/>
  <c r="C18" i="22" s="1"/>
  <c r="C19" i="22" s="1"/>
  <c r="C20" i="22" s="1"/>
  <c r="C21" i="22" s="1"/>
  <c r="C22" i="22" s="1"/>
  <c r="C23" i="22" s="1"/>
  <c r="C24" i="22" s="1"/>
  <c r="C25" i="22" s="1"/>
  <c r="C26" i="22" s="1"/>
  <c r="C27" i="22" s="1"/>
  <c r="C28" i="22" s="1"/>
  <c r="C29" i="22" s="1"/>
  <c r="C30" i="22" s="1"/>
  <c r="C31" i="22" s="1"/>
  <c r="C32" i="22" s="1"/>
  <c r="K11" i="22"/>
  <c r="I11" i="22"/>
  <c r="N100" i="21"/>
  <c r="O100" i="21" s="1"/>
  <c r="L100" i="21"/>
  <c r="M100" i="21" s="1"/>
  <c r="N101" i="19"/>
  <c r="O101" i="19" s="1"/>
  <c r="L101" i="19"/>
  <c r="M101" i="19" s="1"/>
  <c r="M19" i="19"/>
  <c r="N19" i="19" s="1"/>
  <c r="K19" i="19"/>
  <c r="L19" i="19" s="1"/>
  <c r="N101" i="18"/>
  <c r="O101" i="18" s="1"/>
  <c r="L101" i="18"/>
  <c r="M101" i="18" s="1"/>
  <c r="M19" i="18"/>
  <c r="N19" i="18" s="1"/>
  <c r="K19" i="18"/>
  <c r="L19" i="18" s="1"/>
  <c r="N102" i="4"/>
  <c r="O102" i="4" s="1"/>
  <c r="L102" i="4"/>
  <c r="M102" i="4" s="1"/>
  <c r="M20" i="4"/>
  <c r="N20" i="4" s="1"/>
  <c r="K20" i="4"/>
  <c r="L20" i="4" s="1"/>
  <c r="M20" i="3"/>
  <c r="N20" i="3" s="1"/>
  <c r="K20" i="3"/>
  <c r="L20" i="3" s="1"/>
  <c r="N102" i="3"/>
  <c r="O102" i="3" s="1"/>
  <c r="L102" i="3"/>
  <c r="M102" i="3" s="1"/>
  <c r="F78" i="1"/>
  <c r="I12" i="21" s="1"/>
  <c r="I13" i="21" s="1"/>
  <c r="W23" i="17"/>
  <c r="W22" i="17"/>
  <c r="B21" i="18"/>
  <c r="B19" i="21"/>
  <c r="B21" i="3"/>
  <c r="M17" i="21"/>
  <c r="N17" i="21" s="1"/>
  <c r="K17" i="21"/>
  <c r="L17" i="21" s="1"/>
  <c r="M17" i="20"/>
  <c r="N17" i="20" s="1"/>
  <c r="K17" i="20"/>
  <c r="L17" i="20" s="1"/>
  <c r="N100" i="19"/>
  <c r="O100" i="19" s="1"/>
  <c r="L100" i="19"/>
  <c r="M100" i="19" s="1"/>
  <c r="M18" i="19"/>
  <c r="N18" i="19" s="1"/>
  <c r="K18" i="19"/>
  <c r="L18" i="19" s="1"/>
  <c r="N100" i="18"/>
  <c r="O100" i="18" s="1"/>
  <c r="L100" i="18"/>
  <c r="M100" i="18" s="1"/>
  <c r="M18" i="18"/>
  <c r="N18" i="18" s="1"/>
  <c r="K18" i="18"/>
  <c r="L18" i="18" s="1"/>
  <c r="N101" i="4"/>
  <c r="O101" i="4" s="1"/>
  <c r="L101" i="4"/>
  <c r="M101" i="4" s="1"/>
  <c r="M19" i="4"/>
  <c r="N19" i="4" s="1"/>
  <c r="K19" i="4"/>
  <c r="L19" i="4" s="1"/>
  <c r="N101" i="3"/>
  <c r="O101" i="3" s="1"/>
  <c r="L101" i="3"/>
  <c r="M101" i="3" s="1"/>
  <c r="M19" i="3"/>
  <c r="N19" i="3" s="1"/>
  <c r="K19" i="3"/>
  <c r="L19" i="3" s="1"/>
  <c r="J95" i="31"/>
  <c r="J96" i="31" s="1"/>
  <c r="D94" i="3"/>
  <c r="C100" i="3" s="1"/>
  <c r="C17" i="3"/>
  <c r="C18" i="3" s="1"/>
  <c r="C19" i="3" s="1"/>
  <c r="C20" i="3" s="1"/>
  <c r="C21" i="3" s="1"/>
  <c r="C22" i="3" s="1"/>
  <c r="C23" i="3" s="1"/>
  <c r="C24" i="3" s="1"/>
  <c r="C25" i="3" s="1"/>
  <c r="C26" i="3" s="1"/>
  <c r="C27" i="3" s="1"/>
  <c r="C28" i="3" s="1"/>
  <c r="C29" i="3" s="1"/>
  <c r="C30" i="3" s="1"/>
  <c r="C31" i="3" s="1"/>
  <c r="C32" i="3" s="1"/>
  <c r="K18" i="3"/>
  <c r="L18" i="3" s="1"/>
  <c r="C17" i="4"/>
  <c r="C18" i="4" s="1"/>
  <c r="C19" i="4" s="1"/>
  <c r="C20" i="4" s="1"/>
  <c r="C21" i="4" s="1"/>
  <c r="C22" i="4" s="1"/>
  <c r="C23" i="4" s="1"/>
  <c r="C24" i="4" s="1"/>
  <c r="C25" i="4" s="1"/>
  <c r="C26" i="4" s="1"/>
  <c r="C27" i="4" s="1"/>
  <c r="C28" i="4" s="1"/>
  <c r="C29" i="4" s="1"/>
  <c r="C30" i="4" s="1"/>
  <c r="C31" i="4" s="1"/>
  <c r="C32" i="4" s="1"/>
  <c r="K18" i="4"/>
  <c r="L18" i="4" s="1"/>
  <c r="C17" i="18"/>
  <c r="C18" i="18" s="1"/>
  <c r="C19" i="18" s="1"/>
  <c r="C20" i="18" s="1"/>
  <c r="C21" i="18" s="1"/>
  <c r="C22" i="18" s="1"/>
  <c r="C23" i="18" s="1"/>
  <c r="C24" i="18" s="1"/>
  <c r="C25" i="18" s="1"/>
  <c r="C26" i="18" s="1"/>
  <c r="C27" i="18" s="1"/>
  <c r="C28" i="18" s="1"/>
  <c r="C29" i="18" s="1"/>
  <c r="C30" i="18" s="1"/>
  <c r="C31" i="18" s="1"/>
  <c r="C32" i="18" s="1"/>
  <c r="K17" i="18"/>
  <c r="L17" i="18" s="1"/>
  <c r="C17" i="19"/>
  <c r="C18" i="19" s="1"/>
  <c r="C19" i="19" s="1"/>
  <c r="C20" i="19" s="1"/>
  <c r="C21" i="19" s="1"/>
  <c r="C22" i="19" s="1"/>
  <c r="C23" i="19" s="1"/>
  <c r="C24" i="19" s="1"/>
  <c r="C25" i="19" s="1"/>
  <c r="C26" i="19" s="1"/>
  <c r="C27" i="19" s="1"/>
  <c r="C28" i="19" s="1"/>
  <c r="C29" i="19" s="1"/>
  <c r="C30" i="19" s="1"/>
  <c r="C31" i="19" s="1"/>
  <c r="C32" i="19" s="1"/>
  <c r="K17" i="19"/>
  <c r="L17" i="19" s="1"/>
  <c r="C17" i="21"/>
  <c r="C18" i="21" s="1"/>
  <c r="C19" i="21" s="1"/>
  <c r="C20" i="21" s="1"/>
  <c r="C21" i="21" s="1"/>
  <c r="C22" i="21" s="1"/>
  <c r="C23" i="21" s="1"/>
  <c r="C24" i="21" s="1"/>
  <c r="C25" i="21" s="1"/>
  <c r="C26" i="21" s="1"/>
  <c r="C27" i="21" s="1"/>
  <c r="C28" i="21" s="1"/>
  <c r="C29" i="21" s="1"/>
  <c r="C30" i="21" s="1"/>
  <c r="C31" i="21" s="1"/>
  <c r="C32" i="21" s="1"/>
  <c r="I14" i="20"/>
  <c r="C17" i="20"/>
  <c r="C18" i="20" s="1"/>
  <c r="C19" i="20" s="1"/>
  <c r="C20" i="20" s="1"/>
  <c r="C21" i="20" s="1"/>
  <c r="C22" i="20" s="1"/>
  <c r="C23" i="20" s="1"/>
  <c r="C24" i="20" s="1"/>
  <c r="C25" i="20" s="1"/>
  <c r="C26" i="20" s="1"/>
  <c r="C27" i="20" s="1"/>
  <c r="C28" i="20" s="1"/>
  <c r="C29" i="20" s="1"/>
  <c r="C30" i="20" s="1"/>
  <c r="C31" i="20" s="1"/>
  <c r="C32" i="20" s="1"/>
  <c r="C33" i="20" s="1"/>
  <c r="C34" i="20" s="1"/>
  <c r="C35" i="20" s="1"/>
  <c r="C36" i="20" s="1"/>
  <c r="C37" i="20" s="1"/>
  <c r="C38" i="20" s="1"/>
  <c r="C39" i="20" s="1"/>
  <c r="C40" i="20" s="1"/>
  <c r="C41" i="20" s="1"/>
  <c r="C42" i="20" s="1"/>
  <c r="C43" i="20" s="1"/>
  <c r="C44" i="20" s="1"/>
  <c r="C45" i="20" s="1"/>
  <c r="C46" i="20" s="1"/>
  <c r="C47" i="20" s="1"/>
  <c r="C48" i="20" s="1"/>
  <c r="C49" i="20" s="1"/>
  <c r="C50" i="20" s="1"/>
  <c r="C51" i="20" s="1"/>
  <c r="C52" i="20" s="1"/>
  <c r="C53" i="20" s="1"/>
  <c r="C54" i="20" s="1"/>
  <c r="C55" i="20" s="1"/>
  <c r="C56" i="20" s="1"/>
  <c r="C57" i="20" s="1"/>
  <c r="C58" i="20" s="1"/>
  <c r="C59" i="20" s="1"/>
  <c r="C60" i="20" s="1"/>
  <c r="C61" i="20" s="1"/>
  <c r="C62" i="20" s="1"/>
  <c r="C63" i="20" s="1"/>
  <c r="C64" i="20" s="1"/>
  <c r="C65" i="20" s="1"/>
  <c r="C66" i="20" s="1"/>
  <c r="C67" i="20" s="1"/>
  <c r="C68" i="20" s="1"/>
  <c r="C69" i="20" s="1"/>
  <c r="C70" i="20" s="1"/>
  <c r="C71" i="20" s="1"/>
  <c r="C72" i="20" s="1"/>
  <c r="C73" i="20" s="1"/>
  <c r="D95" i="3"/>
  <c r="P1" i="21"/>
  <c r="P84" i="21" s="1"/>
  <c r="H3" i="21"/>
  <c r="K11" i="21"/>
  <c r="B17" i="21"/>
  <c r="N24" i="21"/>
  <c r="N25" i="21"/>
  <c r="N26" i="21"/>
  <c r="N27" i="21"/>
  <c r="L30" i="21"/>
  <c r="N30" i="21"/>
  <c r="L31" i="21"/>
  <c r="N31" i="21"/>
  <c r="L33" i="21"/>
  <c r="N33" i="21"/>
  <c r="L34" i="21"/>
  <c r="N34" i="21"/>
  <c r="L35" i="21"/>
  <c r="N35" i="21"/>
  <c r="L36" i="21"/>
  <c r="N36" i="21"/>
  <c r="L37" i="21"/>
  <c r="N37" i="21"/>
  <c r="L38" i="21"/>
  <c r="N38" i="21"/>
  <c r="L39" i="21"/>
  <c r="N39" i="21"/>
  <c r="L40" i="21"/>
  <c r="N40" i="21"/>
  <c r="L41" i="21"/>
  <c r="N41" i="21"/>
  <c r="L42" i="21"/>
  <c r="N42" i="21"/>
  <c r="L43" i="21"/>
  <c r="N43" i="21"/>
  <c r="L44" i="21"/>
  <c r="N44" i="21"/>
  <c r="L45" i="21"/>
  <c r="N45" i="21"/>
  <c r="L46" i="21"/>
  <c r="N46" i="21"/>
  <c r="L47" i="21"/>
  <c r="N47" i="21"/>
  <c r="L48" i="21"/>
  <c r="N48" i="21"/>
  <c r="L49" i="21"/>
  <c r="N49" i="21"/>
  <c r="L50" i="21"/>
  <c r="N50" i="21"/>
  <c r="L51" i="21"/>
  <c r="N51" i="21"/>
  <c r="L52" i="21"/>
  <c r="N52" i="21"/>
  <c r="L53" i="21"/>
  <c r="N53" i="21"/>
  <c r="L54" i="21"/>
  <c r="N54" i="21"/>
  <c r="L55" i="21"/>
  <c r="N55" i="21"/>
  <c r="L56" i="21"/>
  <c r="N56" i="21"/>
  <c r="L57" i="21"/>
  <c r="N57" i="21"/>
  <c r="L58" i="21"/>
  <c r="N58" i="21"/>
  <c r="L59" i="21"/>
  <c r="N59" i="21"/>
  <c r="L60" i="21"/>
  <c r="N60" i="21"/>
  <c r="L61" i="21"/>
  <c r="N61" i="21"/>
  <c r="L62" i="21"/>
  <c r="N62" i="21"/>
  <c r="L63" i="21"/>
  <c r="N63" i="21"/>
  <c r="L64" i="21"/>
  <c r="N64" i="21"/>
  <c r="L65" i="21"/>
  <c r="N65" i="21"/>
  <c r="L66" i="21"/>
  <c r="N66" i="21"/>
  <c r="L67" i="21"/>
  <c r="N67" i="21"/>
  <c r="L68" i="21"/>
  <c r="N68" i="21"/>
  <c r="L69" i="21"/>
  <c r="N69" i="21"/>
  <c r="L70" i="21"/>
  <c r="N70" i="21"/>
  <c r="L71" i="21"/>
  <c r="N71" i="21"/>
  <c r="L72" i="21"/>
  <c r="N72" i="21"/>
  <c r="L73" i="21"/>
  <c r="N73" i="21"/>
  <c r="D90" i="21"/>
  <c r="D92" i="21"/>
  <c r="J94" i="21"/>
  <c r="L94" i="21"/>
  <c r="D97" i="21"/>
  <c r="O106" i="21"/>
  <c r="O107" i="21"/>
  <c r="O108" i="21"/>
  <c r="M112" i="21"/>
  <c r="O112" i="21"/>
  <c r="M113" i="21"/>
  <c r="O113" i="21"/>
  <c r="M114" i="21"/>
  <c r="O114" i="21"/>
  <c r="M115" i="21"/>
  <c r="O115" i="21"/>
  <c r="M116" i="21"/>
  <c r="O116" i="21"/>
  <c r="M117" i="21"/>
  <c r="O117" i="21"/>
  <c r="M118" i="21"/>
  <c r="O118" i="21"/>
  <c r="M119" i="21"/>
  <c r="O119" i="21"/>
  <c r="M120" i="21"/>
  <c r="O120" i="21"/>
  <c r="M121" i="21"/>
  <c r="O121" i="21"/>
  <c r="M122" i="21"/>
  <c r="O122" i="21"/>
  <c r="M123" i="21"/>
  <c r="O123" i="21"/>
  <c r="M124" i="21"/>
  <c r="O124" i="21"/>
  <c r="M125" i="21"/>
  <c r="O125" i="21"/>
  <c r="M126" i="21"/>
  <c r="O126" i="21"/>
  <c r="M127" i="21"/>
  <c r="O127" i="21"/>
  <c r="M128" i="21"/>
  <c r="O128" i="21"/>
  <c r="M129" i="21"/>
  <c r="O129" i="21"/>
  <c r="M130" i="21"/>
  <c r="O130" i="21"/>
  <c r="M131" i="21"/>
  <c r="O131" i="21"/>
  <c r="M132" i="21"/>
  <c r="O132" i="21"/>
  <c r="M133" i="21"/>
  <c r="O133" i="21"/>
  <c r="M134" i="21"/>
  <c r="O134" i="21"/>
  <c r="M135" i="21"/>
  <c r="O135" i="21"/>
  <c r="M136" i="21"/>
  <c r="O136" i="21"/>
  <c r="M137" i="21"/>
  <c r="O137" i="21"/>
  <c r="M138" i="21"/>
  <c r="O138" i="21"/>
  <c r="M139" i="21"/>
  <c r="O139" i="21"/>
  <c r="M140" i="21"/>
  <c r="O140" i="21"/>
  <c r="M141" i="21"/>
  <c r="O141" i="21"/>
  <c r="M142" i="21"/>
  <c r="O142" i="21"/>
  <c r="M143" i="21"/>
  <c r="O143" i="21"/>
  <c r="M144" i="21"/>
  <c r="O144" i="21"/>
  <c r="M145" i="21"/>
  <c r="O145" i="21"/>
  <c r="M146" i="21"/>
  <c r="O146" i="21"/>
  <c r="M147" i="21"/>
  <c r="O147" i="21"/>
  <c r="M148" i="21"/>
  <c r="O148" i="21"/>
  <c r="M149" i="21"/>
  <c r="O149" i="21"/>
  <c r="M150" i="21"/>
  <c r="O150" i="21"/>
  <c r="M151" i="21"/>
  <c r="O151" i="21"/>
  <c r="M152" i="21"/>
  <c r="O152" i="21"/>
  <c r="M153" i="21"/>
  <c r="O153" i="21"/>
  <c r="M154" i="21"/>
  <c r="O154" i="21"/>
  <c r="M155" i="21"/>
  <c r="O155" i="21"/>
  <c r="M17" i="19"/>
  <c r="N17" i="19" s="1"/>
  <c r="P1" i="20"/>
  <c r="P84" i="20" s="1"/>
  <c r="H3" i="20"/>
  <c r="K11" i="20"/>
  <c r="B17" i="20"/>
  <c r="L18" i="20"/>
  <c r="N18" i="20"/>
  <c r="L19" i="20"/>
  <c r="N19" i="20"/>
  <c r="L20" i="20"/>
  <c r="N20" i="20"/>
  <c r="L21" i="20"/>
  <c r="N21" i="20"/>
  <c r="L22" i="20"/>
  <c r="N22" i="20"/>
  <c r="L23" i="20"/>
  <c r="N23" i="20"/>
  <c r="L24" i="20"/>
  <c r="N24" i="20"/>
  <c r="L25" i="20"/>
  <c r="N25" i="20"/>
  <c r="L26" i="20"/>
  <c r="N26" i="20"/>
  <c r="L27" i="20"/>
  <c r="N27" i="20"/>
  <c r="L28" i="20"/>
  <c r="N28" i="20"/>
  <c r="L29" i="20"/>
  <c r="N29" i="20"/>
  <c r="L30" i="20"/>
  <c r="N30" i="20"/>
  <c r="L31" i="20"/>
  <c r="N31" i="20"/>
  <c r="L33" i="20"/>
  <c r="N33" i="20"/>
  <c r="L34" i="20"/>
  <c r="N34" i="20"/>
  <c r="L35" i="20"/>
  <c r="N35" i="20"/>
  <c r="L36" i="20"/>
  <c r="N36" i="20"/>
  <c r="L37" i="20"/>
  <c r="N37" i="20"/>
  <c r="L38" i="20"/>
  <c r="N38" i="20"/>
  <c r="L39" i="20"/>
  <c r="N39" i="20"/>
  <c r="L40" i="20"/>
  <c r="N40" i="20"/>
  <c r="L41" i="20"/>
  <c r="N41" i="20"/>
  <c r="L42" i="20"/>
  <c r="N42" i="20"/>
  <c r="L43" i="20"/>
  <c r="N43" i="20"/>
  <c r="L44" i="20"/>
  <c r="N44" i="20"/>
  <c r="L45" i="20"/>
  <c r="N45" i="20"/>
  <c r="L46" i="20"/>
  <c r="N46" i="20"/>
  <c r="L47" i="20"/>
  <c r="N47" i="20"/>
  <c r="L48" i="20"/>
  <c r="N48" i="20"/>
  <c r="L49" i="20"/>
  <c r="N49" i="20"/>
  <c r="L50" i="20"/>
  <c r="N50" i="20"/>
  <c r="L51" i="20"/>
  <c r="N51" i="20"/>
  <c r="L52" i="20"/>
  <c r="N52" i="20"/>
  <c r="L53" i="20"/>
  <c r="N53" i="20"/>
  <c r="L54" i="20"/>
  <c r="N54" i="20"/>
  <c r="L55" i="20"/>
  <c r="N55" i="20"/>
  <c r="L56" i="20"/>
  <c r="N56" i="20"/>
  <c r="L57" i="20"/>
  <c r="N57" i="20"/>
  <c r="L58" i="20"/>
  <c r="N58" i="20"/>
  <c r="L59" i="20"/>
  <c r="N59" i="20"/>
  <c r="L60" i="20"/>
  <c r="N60" i="20"/>
  <c r="L61" i="20"/>
  <c r="N61" i="20"/>
  <c r="L62" i="20"/>
  <c r="N62" i="20"/>
  <c r="L63" i="20"/>
  <c r="N63" i="20"/>
  <c r="L64" i="20"/>
  <c r="N64" i="20"/>
  <c r="L65" i="20"/>
  <c r="N65" i="20"/>
  <c r="L66" i="20"/>
  <c r="N66" i="20"/>
  <c r="L67" i="20"/>
  <c r="N67" i="20"/>
  <c r="L68" i="20"/>
  <c r="N68" i="20"/>
  <c r="L69" i="20"/>
  <c r="N69" i="20"/>
  <c r="L70" i="20"/>
  <c r="N70" i="20"/>
  <c r="L71" i="20"/>
  <c r="N71" i="20"/>
  <c r="L72" i="20"/>
  <c r="N72" i="20"/>
  <c r="L73" i="20"/>
  <c r="N73" i="20"/>
  <c r="D90" i="20"/>
  <c r="D92" i="20"/>
  <c r="J94" i="20"/>
  <c r="L94" i="20"/>
  <c r="D97" i="20"/>
  <c r="M100" i="20"/>
  <c r="O100" i="20"/>
  <c r="M101" i="20"/>
  <c r="O101" i="20"/>
  <c r="M102" i="20"/>
  <c r="O102" i="20"/>
  <c r="M103" i="20"/>
  <c r="O103" i="20"/>
  <c r="M104" i="20"/>
  <c r="O104" i="20"/>
  <c r="M105" i="20"/>
  <c r="O105" i="20"/>
  <c r="M106" i="20"/>
  <c r="O106" i="20"/>
  <c r="M107" i="20"/>
  <c r="O107" i="20"/>
  <c r="M108" i="20"/>
  <c r="O108" i="20"/>
  <c r="M109" i="20"/>
  <c r="O109" i="20"/>
  <c r="M110" i="20"/>
  <c r="O110" i="20"/>
  <c r="M111" i="20"/>
  <c r="O111" i="20"/>
  <c r="M112" i="20"/>
  <c r="O112" i="20"/>
  <c r="M113" i="20"/>
  <c r="O113" i="20"/>
  <c r="M114" i="20"/>
  <c r="O114" i="20"/>
  <c r="M115" i="20"/>
  <c r="O115" i="20"/>
  <c r="M116" i="20"/>
  <c r="O116" i="20"/>
  <c r="M117" i="20"/>
  <c r="O117" i="20"/>
  <c r="M118" i="20"/>
  <c r="O118" i="20"/>
  <c r="M119" i="20"/>
  <c r="O119" i="20"/>
  <c r="M120" i="20"/>
  <c r="O120" i="20"/>
  <c r="M121" i="20"/>
  <c r="O121" i="20"/>
  <c r="M122" i="20"/>
  <c r="O122" i="20"/>
  <c r="M123" i="20"/>
  <c r="O123" i="20"/>
  <c r="M124" i="20"/>
  <c r="O124" i="20"/>
  <c r="M125" i="20"/>
  <c r="O125" i="20"/>
  <c r="M126" i="20"/>
  <c r="O126" i="20"/>
  <c r="M127" i="20"/>
  <c r="O127" i="20"/>
  <c r="M128" i="20"/>
  <c r="O128" i="20"/>
  <c r="M129" i="20"/>
  <c r="O129" i="20"/>
  <c r="M130" i="20"/>
  <c r="O130" i="20"/>
  <c r="M131" i="20"/>
  <c r="O131" i="20"/>
  <c r="M132" i="20"/>
  <c r="O132" i="20"/>
  <c r="M133" i="20"/>
  <c r="O133" i="20"/>
  <c r="M134" i="20"/>
  <c r="O134" i="20"/>
  <c r="M135" i="20"/>
  <c r="O135" i="20"/>
  <c r="M136" i="20"/>
  <c r="O136" i="20"/>
  <c r="M137" i="20"/>
  <c r="O137" i="20"/>
  <c r="M138" i="20"/>
  <c r="O138" i="20"/>
  <c r="M139" i="20"/>
  <c r="O139" i="20"/>
  <c r="M140" i="20"/>
  <c r="O140" i="20"/>
  <c r="M141" i="20"/>
  <c r="O141" i="20"/>
  <c r="M142" i="20"/>
  <c r="O142" i="20"/>
  <c r="M143" i="20"/>
  <c r="O143" i="20"/>
  <c r="M144" i="20"/>
  <c r="O144" i="20"/>
  <c r="M145" i="20"/>
  <c r="O145" i="20"/>
  <c r="M146" i="20"/>
  <c r="O146" i="20"/>
  <c r="M147" i="20"/>
  <c r="O147" i="20"/>
  <c r="M148" i="20"/>
  <c r="O148" i="20"/>
  <c r="M149" i="20"/>
  <c r="O149" i="20"/>
  <c r="M150" i="20"/>
  <c r="O150" i="20"/>
  <c r="M151" i="20"/>
  <c r="O151" i="20"/>
  <c r="M152" i="20"/>
  <c r="O152" i="20"/>
  <c r="M153" i="20"/>
  <c r="O153" i="20"/>
  <c r="M154" i="20"/>
  <c r="O154" i="20"/>
  <c r="M155" i="20"/>
  <c r="O155" i="20"/>
  <c r="M17" i="18"/>
  <c r="N17" i="18" s="1"/>
  <c r="N100" i="4"/>
  <c r="O100" i="4" s="1"/>
  <c r="L100" i="4"/>
  <c r="M100" i="4" s="1"/>
  <c r="M18" i="4"/>
  <c r="N18" i="4" s="1"/>
  <c r="N100" i="3"/>
  <c r="O100" i="3" s="1"/>
  <c r="L100" i="3"/>
  <c r="M100" i="3" s="1"/>
  <c r="M18" i="3"/>
  <c r="N18" i="3" s="1"/>
  <c r="C17" i="13"/>
  <c r="C18" i="13" s="1"/>
  <c r="C19" i="13" s="1"/>
  <c r="C20" i="13" s="1"/>
  <c r="C21" i="13" s="1"/>
  <c r="C22" i="13" s="1"/>
  <c r="C23" i="13" s="1"/>
  <c r="C24" i="13" s="1"/>
  <c r="C25" i="13" s="1"/>
  <c r="C26" i="13" s="1"/>
  <c r="C27" i="13" s="1"/>
  <c r="C28" i="13" s="1"/>
  <c r="C29" i="13" s="1"/>
  <c r="C30" i="13" s="1"/>
  <c r="C31" i="13" s="1"/>
  <c r="C32" i="13" s="1"/>
  <c r="C33" i="13" s="1"/>
  <c r="C34" i="13" s="1"/>
  <c r="C35" i="13" s="1"/>
  <c r="C36" i="13" s="1"/>
  <c r="C37" i="13" s="1"/>
  <c r="C38" i="13" s="1"/>
  <c r="C39" i="13" s="1"/>
  <c r="C40" i="13" s="1"/>
  <c r="C41" i="13" s="1"/>
  <c r="C42" i="13" s="1"/>
  <c r="C43" i="13" s="1"/>
  <c r="C44" i="13" s="1"/>
  <c r="C45" i="13" s="1"/>
  <c r="C46" i="13" s="1"/>
  <c r="C47" i="13" s="1"/>
  <c r="C48" i="13" s="1"/>
  <c r="C49" i="13" s="1"/>
  <c r="C50" i="13" s="1"/>
  <c r="C51" i="13" s="1"/>
  <c r="C52" i="13" s="1"/>
  <c r="C53" i="13" s="1"/>
  <c r="C54" i="13" s="1"/>
  <c r="C55" i="13" s="1"/>
  <c r="C56" i="13" s="1"/>
  <c r="C57" i="13" s="1"/>
  <c r="C58" i="13" s="1"/>
  <c r="C59" i="13" s="1"/>
  <c r="C60" i="13" s="1"/>
  <c r="C61" i="13" s="1"/>
  <c r="C62" i="13" s="1"/>
  <c r="C63" i="13" s="1"/>
  <c r="C64" i="13" s="1"/>
  <c r="C65" i="13" s="1"/>
  <c r="C66" i="13" s="1"/>
  <c r="C67" i="13" s="1"/>
  <c r="C68" i="13" s="1"/>
  <c r="C69" i="13" s="1"/>
  <c r="C70" i="13" s="1"/>
  <c r="C71" i="13" s="1"/>
  <c r="C72" i="13" s="1"/>
  <c r="W21" i="17"/>
  <c r="W20" i="17"/>
  <c r="K17" i="3"/>
  <c r="L17" i="3" s="1"/>
  <c r="K17" i="4"/>
  <c r="L17" i="4" s="1"/>
  <c r="P1" i="19"/>
  <c r="P84" i="19" s="1"/>
  <c r="H3" i="19"/>
  <c r="K11" i="19"/>
  <c r="B17" i="19"/>
  <c r="I17" i="19"/>
  <c r="B18" i="19"/>
  <c r="N26" i="19"/>
  <c r="N27" i="19"/>
  <c r="N28" i="19"/>
  <c r="N29" i="19"/>
  <c r="L34" i="19"/>
  <c r="N34" i="19"/>
  <c r="L35" i="19"/>
  <c r="N35" i="19"/>
  <c r="L36" i="19"/>
  <c r="N36" i="19"/>
  <c r="L37" i="19"/>
  <c r="N37" i="19"/>
  <c r="L38" i="19"/>
  <c r="N38" i="19"/>
  <c r="L39" i="19"/>
  <c r="N39" i="19"/>
  <c r="L40" i="19"/>
  <c r="N40" i="19"/>
  <c r="L41" i="19"/>
  <c r="N41" i="19"/>
  <c r="L42" i="19"/>
  <c r="N42" i="19"/>
  <c r="L43" i="19"/>
  <c r="N43" i="19"/>
  <c r="L44" i="19"/>
  <c r="N44" i="19"/>
  <c r="L45" i="19"/>
  <c r="N45" i="19"/>
  <c r="L46" i="19"/>
  <c r="N46" i="19"/>
  <c r="L47" i="19"/>
  <c r="N47" i="19"/>
  <c r="L48" i="19"/>
  <c r="N48" i="19"/>
  <c r="L49" i="19"/>
  <c r="N49" i="19"/>
  <c r="L50" i="19"/>
  <c r="N50" i="19"/>
  <c r="L51" i="19"/>
  <c r="N51" i="19"/>
  <c r="L52" i="19"/>
  <c r="N52" i="19"/>
  <c r="L53" i="19"/>
  <c r="N53" i="19"/>
  <c r="L54" i="19"/>
  <c r="N54" i="19"/>
  <c r="L55" i="19"/>
  <c r="N55" i="19"/>
  <c r="L56" i="19"/>
  <c r="N56" i="19"/>
  <c r="L57" i="19"/>
  <c r="N57" i="19"/>
  <c r="L58" i="19"/>
  <c r="N58" i="19"/>
  <c r="L59" i="19"/>
  <c r="N59" i="19"/>
  <c r="L60" i="19"/>
  <c r="N60" i="19"/>
  <c r="L61" i="19"/>
  <c r="N61" i="19"/>
  <c r="L62" i="19"/>
  <c r="N62" i="19"/>
  <c r="L63" i="19"/>
  <c r="N63" i="19"/>
  <c r="L64" i="19"/>
  <c r="N64" i="19"/>
  <c r="L65" i="19"/>
  <c r="N65" i="19"/>
  <c r="L66" i="19"/>
  <c r="N66" i="19"/>
  <c r="L67" i="19"/>
  <c r="N67" i="19"/>
  <c r="L68" i="19"/>
  <c r="N68" i="19"/>
  <c r="L69" i="19"/>
  <c r="N69" i="19"/>
  <c r="L70" i="19"/>
  <c r="N70" i="19"/>
  <c r="L71" i="19"/>
  <c r="N71" i="19"/>
  <c r="L72" i="19"/>
  <c r="N72" i="19"/>
  <c r="L73" i="19"/>
  <c r="N73" i="19"/>
  <c r="D90" i="19"/>
  <c r="D92" i="19"/>
  <c r="J94" i="19"/>
  <c r="L94" i="19"/>
  <c r="D97" i="19"/>
  <c r="O108" i="19"/>
  <c r="O109" i="19"/>
  <c r="O110" i="19"/>
  <c r="M114" i="19"/>
  <c r="O114" i="19"/>
  <c r="M115" i="19"/>
  <c r="O115" i="19"/>
  <c r="M116" i="19"/>
  <c r="O116" i="19"/>
  <c r="M117" i="19"/>
  <c r="O117" i="19"/>
  <c r="M118" i="19"/>
  <c r="O118" i="19"/>
  <c r="M119" i="19"/>
  <c r="O119" i="19"/>
  <c r="M120" i="19"/>
  <c r="O120" i="19"/>
  <c r="M121" i="19"/>
  <c r="O121" i="19"/>
  <c r="M122" i="19"/>
  <c r="O122" i="19"/>
  <c r="M123" i="19"/>
  <c r="O123" i="19"/>
  <c r="M124" i="19"/>
  <c r="O124" i="19"/>
  <c r="M125" i="19"/>
  <c r="O125" i="19"/>
  <c r="M126" i="19"/>
  <c r="O126" i="19"/>
  <c r="M127" i="19"/>
  <c r="O127" i="19"/>
  <c r="M128" i="19"/>
  <c r="O128" i="19"/>
  <c r="M129" i="19"/>
  <c r="O129" i="19"/>
  <c r="M130" i="19"/>
  <c r="O130" i="19"/>
  <c r="M131" i="19"/>
  <c r="O131" i="19"/>
  <c r="M132" i="19"/>
  <c r="O132" i="19"/>
  <c r="M133" i="19"/>
  <c r="O133" i="19"/>
  <c r="M134" i="19"/>
  <c r="O134" i="19"/>
  <c r="M135" i="19"/>
  <c r="O135" i="19"/>
  <c r="M136" i="19"/>
  <c r="O136" i="19"/>
  <c r="M137" i="19"/>
  <c r="O137" i="19"/>
  <c r="M138" i="19"/>
  <c r="O138" i="19"/>
  <c r="M139" i="19"/>
  <c r="O139" i="19"/>
  <c r="M140" i="19"/>
  <c r="O140" i="19"/>
  <c r="M141" i="19"/>
  <c r="O141" i="19"/>
  <c r="M142" i="19"/>
  <c r="O142" i="19"/>
  <c r="M143" i="19"/>
  <c r="O143" i="19"/>
  <c r="M144" i="19"/>
  <c r="O144" i="19"/>
  <c r="M145" i="19"/>
  <c r="O145" i="19"/>
  <c r="M146" i="19"/>
  <c r="O146" i="19"/>
  <c r="M147" i="19"/>
  <c r="O147" i="19"/>
  <c r="M148" i="19"/>
  <c r="O148" i="19"/>
  <c r="M149" i="19"/>
  <c r="O149" i="19"/>
  <c r="M150" i="19"/>
  <c r="O150" i="19"/>
  <c r="M151" i="19"/>
  <c r="O151" i="19"/>
  <c r="M152" i="19"/>
  <c r="O152" i="19"/>
  <c r="M153" i="19"/>
  <c r="O153" i="19"/>
  <c r="M154" i="19"/>
  <c r="O154" i="19"/>
  <c r="M155" i="19"/>
  <c r="O155" i="19"/>
  <c r="I17" i="18"/>
  <c r="P1" i="18"/>
  <c r="P84" i="18" s="1"/>
  <c r="H3" i="18"/>
  <c r="K11" i="18"/>
  <c r="B17" i="18"/>
  <c r="B18" i="18"/>
  <c r="N26" i="18"/>
  <c r="N27" i="18"/>
  <c r="N28" i="18"/>
  <c r="N29" i="18"/>
  <c r="L34" i="18"/>
  <c r="N34" i="18"/>
  <c r="L35" i="18"/>
  <c r="N35" i="18"/>
  <c r="L36" i="18"/>
  <c r="N36" i="18"/>
  <c r="L37" i="18"/>
  <c r="N37" i="18"/>
  <c r="L38" i="18"/>
  <c r="N38" i="18"/>
  <c r="L39" i="18"/>
  <c r="N39" i="18"/>
  <c r="L40" i="18"/>
  <c r="N40" i="18"/>
  <c r="L41" i="18"/>
  <c r="N41" i="18"/>
  <c r="L42" i="18"/>
  <c r="N42" i="18"/>
  <c r="L43" i="18"/>
  <c r="N43" i="18"/>
  <c r="L44" i="18"/>
  <c r="N44" i="18"/>
  <c r="L45" i="18"/>
  <c r="N45" i="18"/>
  <c r="L46" i="18"/>
  <c r="N46" i="18"/>
  <c r="L47" i="18"/>
  <c r="N47" i="18"/>
  <c r="L48" i="18"/>
  <c r="N48" i="18"/>
  <c r="L49" i="18"/>
  <c r="N49" i="18"/>
  <c r="L50" i="18"/>
  <c r="N50" i="18"/>
  <c r="L51" i="18"/>
  <c r="N51" i="18"/>
  <c r="L52" i="18"/>
  <c r="N52" i="18"/>
  <c r="L53" i="18"/>
  <c r="N53" i="18"/>
  <c r="L54" i="18"/>
  <c r="N54" i="18"/>
  <c r="L55" i="18"/>
  <c r="N55" i="18"/>
  <c r="L56" i="18"/>
  <c r="N56" i="18"/>
  <c r="L57" i="18"/>
  <c r="N57" i="18"/>
  <c r="L58" i="18"/>
  <c r="N58" i="18"/>
  <c r="L59" i="18"/>
  <c r="N59" i="18"/>
  <c r="L60" i="18"/>
  <c r="N60" i="18"/>
  <c r="L61" i="18"/>
  <c r="N61" i="18"/>
  <c r="L62" i="18"/>
  <c r="N62" i="18"/>
  <c r="L63" i="18"/>
  <c r="N63" i="18"/>
  <c r="L64" i="18"/>
  <c r="N64" i="18"/>
  <c r="L65" i="18"/>
  <c r="N65" i="18"/>
  <c r="L66" i="18"/>
  <c r="N66" i="18"/>
  <c r="L67" i="18"/>
  <c r="N67" i="18"/>
  <c r="L68" i="18"/>
  <c r="N68" i="18"/>
  <c r="L69" i="18"/>
  <c r="N69" i="18"/>
  <c r="L70" i="18"/>
  <c r="N70" i="18"/>
  <c r="L71" i="18"/>
  <c r="N71" i="18"/>
  <c r="L72" i="18"/>
  <c r="N72" i="18"/>
  <c r="L73" i="18"/>
  <c r="N73" i="18"/>
  <c r="D90" i="18"/>
  <c r="D92" i="18"/>
  <c r="J94" i="18"/>
  <c r="L94" i="18"/>
  <c r="D97" i="18"/>
  <c r="O108" i="18"/>
  <c r="O109" i="18"/>
  <c r="O110" i="18"/>
  <c r="M114" i="18"/>
  <c r="O114" i="18"/>
  <c r="M115" i="18"/>
  <c r="O115" i="18"/>
  <c r="M116" i="18"/>
  <c r="O116" i="18"/>
  <c r="M117" i="18"/>
  <c r="O117" i="18"/>
  <c r="M118" i="18"/>
  <c r="O118" i="18"/>
  <c r="M119" i="18"/>
  <c r="O119" i="18"/>
  <c r="M120" i="18"/>
  <c r="O120" i="18"/>
  <c r="M121" i="18"/>
  <c r="O121" i="18"/>
  <c r="M122" i="18"/>
  <c r="O122" i="18"/>
  <c r="M123" i="18"/>
  <c r="O123" i="18"/>
  <c r="M124" i="18"/>
  <c r="O124" i="18"/>
  <c r="M125" i="18"/>
  <c r="O125" i="18"/>
  <c r="M126" i="18"/>
  <c r="O126" i="18"/>
  <c r="M127" i="18"/>
  <c r="O127" i="18"/>
  <c r="M128" i="18"/>
  <c r="O128" i="18"/>
  <c r="M129" i="18"/>
  <c r="O129" i="18"/>
  <c r="M130" i="18"/>
  <c r="O130" i="18"/>
  <c r="M131" i="18"/>
  <c r="O131" i="18"/>
  <c r="M132" i="18"/>
  <c r="O132" i="18"/>
  <c r="M133" i="18"/>
  <c r="O133" i="18"/>
  <c r="M134" i="18"/>
  <c r="O134" i="18"/>
  <c r="M135" i="18"/>
  <c r="O135" i="18"/>
  <c r="M136" i="18"/>
  <c r="O136" i="18"/>
  <c r="M137" i="18"/>
  <c r="O137" i="18"/>
  <c r="M138" i="18"/>
  <c r="O138" i="18"/>
  <c r="M139" i="18"/>
  <c r="O139" i="18"/>
  <c r="M140" i="18"/>
  <c r="O140" i="18"/>
  <c r="M141" i="18"/>
  <c r="O141" i="18"/>
  <c r="M142" i="18"/>
  <c r="O142" i="18"/>
  <c r="M143" i="18"/>
  <c r="O143" i="18"/>
  <c r="M144" i="18"/>
  <c r="O144" i="18"/>
  <c r="M145" i="18"/>
  <c r="O145" i="18"/>
  <c r="M146" i="18"/>
  <c r="O146" i="18"/>
  <c r="M147" i="18"/>
  <c r="O147" i="18"/>
  <c r="M148" i="18"/>
  <c r="O148" i="18"/>
  <c r="M149" i="18"/>
  <c r="O149" i="18"/>
  <c r="M150" i="18"/>
  <c r="O150" i="18"/>
  <c r="M151" i="18"/>
  <c r="O151" i="18"/>
  <c r="M152" i="18"/>
  <c r="O152" i="18"/>
  <c r="M153" i="18"/>
  <c r="O153" i="18"/>
  <c r="M154" i="18"/>
  <c r="O154" i="18"/>
  <c r="M155" i="18"/>
  <c r="O155" i="18"/>
  <c r="B17" i="3"/>
  <c r="B17" i="4"/>
  <c r="M17" i="4"/>
  <c r="N17" i="4" s="1"/>
  <c r="B101" i="4"/>
  <c r="B100" i="4"/>
  <c r="B19" i="4"/>
  <c r="B18" i="4"/>
  <c r="B19" i="3"/>
  <c r="B18" i="3"/>
  <c r="B100" i="3"/>
  <c r="M17" i="3"/>
  <c r="N17" i="3" s="1"/>
  <c r="P1" i="13"/>
  <c r="P84" i="13" s="1"/>
  <c r="P1" i="4"/>
  <c r="P84" i="4" s="1"/>
  <c r="P1" i="3"/>
  <c r="P84" i="3" s="1"/>
  <c r="P12" i="17"/>
  <c r="L12" i="17"/>
  <c r="W19" i="17"/>
  <c r="W18" i="17"/>
  <c r="G12" i="17"/>
  <c r="H3" i="3"/>
  <c r="H3" i="4"/>
  <c r="O3" i="3"/>
  <c r="A1" i="2"/>
  <c r="F13" i="1"/>
  <c r="C37" i="1" s="1"/>
  <c r="I11" i="13"/>
  <c r="K11" i="13"/>
  <c r="L17" i="13"/>
  <c r="N17" i="13"/>
  <c r="L18" i="13"/>
  <c r="N18" i="13"/>
  <c r="L19" i="13"/>
  <c r="N19" i="13"/>
  <c r="L20" i="13"/>
  <c r="N20" i="13"/>
  <c r="L21" i="13"/>
  <c r="N21" i="13"/>
  <c r="L22" i="13"/>
  <c r="N22" i="13"/>
  <c r="L23" i="13"/>
  <c r="N23" i="13"/>
  <c r="L24" i="13"/>
  <c r="N24" i="13"/>
  <c r="L25" i="13"/>
  <c r="N25" i="13"/>
  <c r="L26" i="13"/>
  <c r="N26" i="13"/>
  <c r="L27" i="13"/>
  <c r="N27" i="13"/>
  <c r="L28" i="13"/>
  <c r="N28" i="13"/>
  <c r="L29" i="13"/>
  <c r="N29" i="13"/>
  <c r="L30" i="13"/>
  <c r="N30" i="13"/>
  <c r="L31" i="13"/>
  <c r="N31" i="13"/>
  <c r="L32" i="13"/>
  <c r="N32" i="13"/>
  <c r="L33" i="13"/>
  <c r="N33" i="13"/>
  <c r="L34" i="13"/>
  <c r="N34" i="13"/>
  <c r="L35" i="13"/>
  <c r="N35" i="13"/>
  <c r="L36" i="13"/>
  <c r="N36" i="13"/>
  <c r="L37" i="13"/>
  <c r="N37" i="13"/>
  <c r="L38" i="13"/>
  <c r="N38" i="13"/>
  <c r="L39" i="13"/>
  <c r="N39" i="13"/>
  <c r="L40" i="13"/>
  <c r="N40" i="13"/>
  <c r="L41" i="13"/>
  <c r="N41" i="13"/>
  <c r="L42" i="13"/>
  <c r="N42" i="13"/>
  <c r="L43" i="13"/>
  <c r="N43" i="13"/>
  <c r="L44" i="13"/>
  <c r="N44" i="13"/>
  <c r="L45" i="13"/>
  <c r="N45" i="13"/>
  <c r="L46" i="13"/>
  <c r="N46" i="13"/>
  <c r="L47" i="13"/>
  <c r="N47" i="13"/>
  <c r="L48" i="13"/>
  <c r="N48" i="13"/>
  <c r="L49" i="13"/>
  <c r="N49" i="13"/>
  <c r="L50" i="13"/>
  <c r="N50" i="13"/>
  <c r="L51" i="13"/>
  <c r="N51" i="13"/>
  <c r="L52" i="13"/>
  <c r="N52" i="13"/>
  <c r="L53" i="13"/>
  <c r="N53" i="13"/>
  <c r="L54" i="13"/>
  <c r="N54" i="13"/>
  <c r="L55" i="13"/>
  <c r="N55" i="13"/>
  <c r="L56" i="13"/>
  <c r="N56" i="13"/>
  <c r="L57" i="13"/>
  <c r="N57" i="13"/>
  <c r="L58" i="13"/>
  <c r="N58" i="13"/>
  <c r="L59" i="13"/>
  <c r="N59" i="13"/>
  <c r="L60" i="13"/>
  <c r="N60" i="13"/>
  <c r="L61" i="13"/>
  <c r="N61" i="13"/>
  <c r="L62" i="13"/>
  <c r="N62" i="13"/>
  <c r="L63" i="13"/>
  <c r="N63" i="13"/>
  <c r="L64" i="13"/>
  <c r="N64" i="13"/>
  <c r="L65" i="13"/>
  <c r="N65" i="13"/>
  <c r="L66" i="13"/>
  <c r="N66" i="13"/>
  <c r="L67" i="13"/>
  <c r="N67" i="13"/>
  <c r="L68" i="13"/>
  <c r="N68" i="13"/>
  <c r="L69" i="13"/>
  <c r="N69" i="13"/>
  <c r="L70" i="13"/>
  <c r="N70" i="13"/>
  <c r="L71" i="13"/>
  <c r="N71" i="13"/>
  <c r="D90" i="13"/>
  <c r="D92" i="13"/>
  <c r="J94" i="13"/>
  <c r="L94" i="13"/>
  <c r="D97" i="13"/>
  <c r="M100" i="13"/>
  <c r="O100" i="13"/>
  <c r="M101" i="13"/>
  <c r="O101" i="13"/>
  <c r="M102" i="13"/>
  <c r="O102" i="13"/>
  <c r="M103" i="13"/>
  <c r="O103" i="13"/>
  <c r="M104" i="13"/>
  <c r="O104" i="13"/>
  <c r="M105" i="13"/>
  <c r="O105" i="13"/>
  <c r="M106" i="13"/>
  <c r="O106" i="13"/>
  <c r="M107" i="13"/>
  <c r="O107" i="13"/>
  <c r="M108" i="13"/>
  <c r="O108" i="13"/>
  <c r="M109" i="13"/>
  <c r="O109" i="13"/>
  <c r="M110" i="13"/>
  <c r="O110" i="13"/>
  <c r="M111" i="13"/>
  <c r="O111" i="13"/>
  <c r="M112" i="13"/>
  <c r="O112" i="13"/>
  <c r="M113" i="13"/>
  <c r="O113" i="13"/>
  <c r="M114" i="13"/>
  <c r="O114" i="13"/>
  <c r="M115" i="13"/>
  <c r="O115" i="13"/>
  <c r="M116" i="13"/>
  <c r="O116" i="13"/>
  <c r="M117" i="13"/>
  <c r="O117" i="13"/>
  <c r="M118" i="13"/>
  <c r="O118" i="13"/>
  <c r="M119" i="13"/>
  <c r="O119" i="13"/>
  <c r="M120" i="13"/>
  <c r="O120" i="13"/>
  <c r="M121" i="13"/>
  <c r="O121" i="13"/>
  <c r="M122" i="13"/>
  <c r="O122" i="13"/>
  <c r="M123" i="13"/>
  <c r="O123" i="13"/>
  <c r="M124" i="13"/>
  <c r="O124" i="13"/>
  <c r="M125" i="13"/>
  <c r="O125" i="13"/>
  <c r="M126" i="13"/>
  <c r="O126" i="13"/>
  <c r="M127" i="13"/>
  <c r="O127" i="13"/>
  <c r="M128" i="13"/>
  <c r="O128" i="13"/>
  <c r="M129" i="13"/>
  <c r="O129" i="13"/>
  <c r="M130" i="13"/>
  <c r="O130" i="13"/>
  <c r="M131" i="13"/>
  <c r="O131" i="13"/>
  <c r="J132" i="13"/>
  <c r="M132" i="13"/>
  <c r="O132" i="13"/>
  <c r="P132" i="13"/>
  <c r="J133" i="13"/>
  <c r="M133" i="13"/>
  <c r="O133" i="13"/>
  <c r="P133" i="13"/>
  <c r="J134" i="13"/>
  <c r="M134" i="13"/>
  <c r="O134" i="13"/>
  <c r="P134" i="13"/>
  <c r="J135" i="13"/>
  <c r="M135" i="13"/>
  <c r="O135" i="13"/>
  <c r="P135" i="13"/>
  <c r="J136" i="13"/>
  <c r="M136" i="13"/>
  <c r="O136" i="13"/>
  <c r="P136" i="13"/>
  <c r="J137" i="13"/>
  <c r="M137" i="13"/>
  <c r="O137" i="13"/>
  <c r="P137" i="13"/>
  <c r="J138" i="13"/>
  <c r="M138" i="13"/>
  <c r="O138" i="13"/>
  <c r="P138" i="13"/>
  <c r="J139" i="13"/>
  <c r="M139" i="13"/>
  <c r="O139" i="13"/>
  <c r="P139" i="13"/>
  <c r="J140" i="13"/>
  <c r="M140" i="13"/>
  <c r="O140" i="13"/>
  <c r="P140" i="13"/>
  <c r="J141" i="13"/>
  <c r="M141" i="13"/>
  <c r="O141" i="13"/>
  <c r="P141" i="13"/>
  <c r="J142" i="13"/>
  <c r="M142" i="13"/>
  <c r="O142" i="13"/>
  <c r="P142" i="13"/>
  <c r="J143" i="13"/>
  <c r="M143" i="13"/>
  <c r="O143" i="13"/>
  <c r="P143" i="13"/>
  <c r="J144" i="13"/>
  <c r="M144" i="13"/>
  <c r="O144" i="13"/>
  <c r="P144" i="13"/>
  <c r="J145" i="13"/>
  <c r="M145" i="13"/>
  <c r="O145" i="13"/>
  <c r="P145" i="13"/>
  <c r="J146" i="13"/>
  <c r="M146" i="13"/>
  <c r="O146" i="13"/>
  <c r="P146" i="13"/>
  <c r="J147" i="13"/>
  <c r="M147" i="13"/>
  <c r="O147" i="13"/>
  <c r="P147" i="13"/>
  <c r="J148" i="13"/>
  <c r="M148" i="13"/>
  <c r="O148" i="13"/>
  <c r="P148" i="13"/>
  <c r="J149" i="13"/>
  <c r="M149" i="13"/>
  <c r="O149" i="13"/>
  <c r="P149" i="13"/>
  <c r="J150" i="13"/>
  <c r="M150" i="13"/>
  <c r="O150" i="13"/>
  <c r="P150" i="13"/>
  <c r="J151" i="13"/>
  <c r="M151" i="13"/>
  <c r="O151" i="13"/>
  <c r="P151" i="13"/>
  <c r="J152" i="13"/>
  <c r="M152" i="13"/>
  <c r="O152" i="13"/>
  <c r="P152" i="13"/>
  <c r="J153" i="13"/>
  <c r="M153" i="13"/>
  <c r="O153" i="13"/>
  <c r="P153" i="13"/>
  <c r="J154" i="13"/>
  <c r="M154" i="13"/>
  <c r="O154" i="13"/>
  <c r="P154" i="13"/>
  <c r="J155" i="13"/>
  <c r="M155" i="13"/>
  <c r="O155" i="13"/>
  <c r="P155" i="13"/>
  <c r="K11" i="4"/>
  <c r="I17" i="4"/>
  <c r="I18" i="4"/>
  <c r="N28" i="4"/>
  <c r="N29" i="4"/>
  <c r="N30" i="4"/>
  <c r="L33" i="4"/>
  <c r="N33" i="4"/>
  <c r="L34" i="4"/>
  <c r="N34" i="4"/>
  <c r="L35" i="4"/>
  <c r="N35" i="4"/>
  <c r="L36" i="4"/>
  <c r="N36" i="4"/>
  <c r="L37" i="4"/>
  <c r="N37" i="4"/>
  <c r="L38" i="4"/>
  <c r="N38" i="4"/>
  <c r="L39" i="4"/>
  <c r="N39" i="4"/>
  <c r="L40" i="4"/>
  <c r="N40" i="4"/>
  <c r="L41" i="4"/>
  <c r="N41" i="4"/>
  <c r="L42" i="4"/>
  <c r="N42" i="4"/>
  <c r="L43" i="4"/>
  <c r="N43" i="4"/>
  <c r="L44" i="4"/>
  <c r="N44" i="4"/>
  <c r="L45" i="4"/>
  <c r="N45" i="4"/>
  <c r="L46" i="4"/>
  <c r="N46" i="4"/>
  <c r="L47" i="4"/>
  <c r="N47" i="4"/>
  <c r="L48" i="4"/>
  <c r="N48" i="4"/>
  <c r="L49" i="4"/>
  <c r="N49" i="4"/>
  <c r="L50" i="4"/>
  <c r="N50" i="4"/>
  <c r="L51" i="4"/>
  <c r="N51" i="4"/>
  <c r="L52" i="4"/>
  <c r="N52" i="4"/>
  <c r="L53" i="4"/>
  <c r="N53" i="4"/>
  <c r="L54" i="4"/>
  <c r="N54" i="4"/>
  <c r="L55" i="4"/>
  <c r="N55" i="4"/>
  <c r="L56" i="4"/>
  <c r="N56" i="4"/>
  <c r="L57" i="4"/>
  <c r="N57" i="4"/>
  <c r="L58" i="4"/>
  <c r="N58" i="4"/>
  <c r="L59" i="4"/>
  <c r="N59" i="4"/>
  <c r="L60" i="4"/>
  <c r="N60" i="4"/>
  <c r="L61" i="4"/>
  <c r="N61" i="4"/>
  <c r="L62" i="4"/>
  <c r="N62" i="4"/>
  <c r="L63" i="4"/>
  <c r="N63" i="4"/>
  <c r="L64" i="4"/>
  <c r="N64" i="4"/>
  <c r="L65" i="4"/>
  <c r="N65" i="4"/>
  <c r="L66" i="4"/>
  <c r="N66" i="4"/>
  <c r="L67" i="4"/>
  <c r="N67" i="4"/>
  <c r="L68" i="4"/>
  <c r="N68" i="4"/>
  <c r="L69" i="4"/>
  <c r="N69" i="4"/>
  <c r="L70" i="4"/>
  <c r="N70" i="4"/>
  <c r="L71" i="4"/>
  <c r="N71" i="4"/>
  <c r="L72" i="4"/>
  <c r="N72" i="4"/>
  <c r="L73" i="4"/>
  <c r="N73" i="4"/>
  <c r="D90" i="4"/>
  <c r="D92" i="4"/>
  <c r="J94" i="4"/>
  <c r="L94" i="4"/>
  <c r="D97" i="4"/>
  <c r="O111" i="4"/>
  <c r="M115" i="4"/>
  <c r="O115" i="4"/>
  <c r="M116" i="4"/>
  <c r="O116" i="4"/>
  <c r="M117" i="4"/>
  <c r="O117" i="4"/>
  <c r="M118" i="4"/>
  <c r="O118" i="4"/>
  <c r="M119" i="4"/>
  <c r="O119" i="4"/>
  <c r="M120" i="4"/>
  <c r="O120" i="4"/>
  <c r="M121" i="4"/>
  <c r="O121" i="4"/>
  <c r="M122" i="4"/>
  <c r="O122" i="4"/>
  <c r="M123" i="4"/>
  <c r="O123" i="4"/>
  <c r="M124" i="4"/>
  <c r="O124" i="4"/>
  <c r="M125" i="4"/>
  <c r="O125" i="4"/>
  <c r="M126" i="4"/>
  <c r="O126" i="4"/>
  <c r="M127" i="4"/>
  <c r="O127" i="4"/>
  <c r="M128" i="4"/>
  <c r="O128" i="4"/>
  <c r="M129" i="4"/>
  <c r="O129" i="4"/>
  <c r="M130" i="4"/>
  <c r="O130" i="4"/>
  <c r="M131" i="4"/>
  <c r="O131" i="4"/>
  <c r="M132" i="4"/>
  <c r="O132" i="4"/>
  <c r="M133" i="4"/>
  <c r="O133" i="4"/>
  <c r="M134" i="4"/>
  <c r="O134" i="4"/>
  <c r="M135" i="4"/>
  <c r="O135" i="4"/>
  <c r="M136" i="4"/>
  <c r="O136" i="4"/>
  <c r="M137" i="4"/>
  <c r="O137" i="4"/>
  <c r="M138" i="4"/>
  <c r="O138" i="4"/>
  <c r="M139" i="4"/>
  <c r="O139" i="4"/>
  <c r="M140" i="4"/>
  <c r="O140" i="4"/>
  <c r="M141" i="4"/>
  <c r="O141" i="4"/>
  <c r="M142" i="4"/>
  <c r="O142" i="4"/>
  <c r="M143" i="4"/>
  <c r="O143" i="4"/>
  <c r="M144" i="4"/>
  <c r="O144" i="4"/>
  <c r="M145" i="4"/>
  <c r="O145" i="4"/>
  <c r="M146" i="4"/>
  <c r="O146" i="4"/>
  <c r="M147" i="4"/>
  <c r="O147" i="4"/>
  <c r="M148" i="4"/>
  <c r="O148" i="4"/>
  <c r="M149" i="4"/>
  <c r="O149" i="4"/>
  <c r="M150" i="4"/>
  <c r="O150" i="4"/>
  <c r="M151" i="4"/>
  <c r="O151" i="4"/>
  <c r="M152" i="4"/>
  <c r="O152" i="4"/>
  <c r="M153" i="4"/>
  <c r="O153" i="4"/>
  <c r="M154" i="4"/>
  <c r="O154" i="4"/>
  <c r="M155" i="4"/>
  <c r="O155" i="4"/>
  <c r="K11" i="3"/>
  <c r="I17" i="3"/>
  <c r="I18" i="3"/>
  <c r="N28" i="3"/>
  <c r="N29" i="3"/>
  <c r="N30" i="3"/>
  <c r="L44" i="3"/>
  <c r="N44" i="3"/>
  <c r="L45" i="3"/>
  <c r="N45" i="3"/>
  <c r="L46" i="3"/>
  <c r="N46" i="3"/>
  <c r="L47" i="3"/>
  <c r="N47" i="3"/>
  <c r="L48" i="3"/>
  <c r="N48" i="3"/>
  <c r="L49" i="3"/>
  <c r="N49" i="3"/>
  <c r="L50" i="3"/>
  <c r="N50" i="3"/>
  <c r="L51" i="3"/>
  <c r="N51" i="3"/>
  <c r="L52" i="3"/>
  <c r="N52" i="3"/>
  <c r="L53" i="3"/>
  <c r="N53" i="3"/>
  <c r="L54" i="3"/>
  <c r="N54" i="3"/>
  <c r="L55" i="3"/>
  <c r="N55" i="3"/>
  <c r="L56" i="3"/>
  <c r="N56" i="3"/>
  <c r="L57" i="3"/>
  <c r="N57" i="3"/>
  <c r="L58" i="3"/>
  <c r="N58" i="3"/>
  <c r="L59" i="3"/>
  <c r="N59" i="3"/>
  <c r="L60" i="3"/>
  <c r="N60" i="3"/>
  <c r="L61" i="3"/>
  <c r="N61" i="3"/>
  <c r="L62" i="3"/>
  <c r="N62" i="3"/>
  <c r="L63" i="3"/>
  <c r="N63" i="3"/>
  <c r="L64" i="3"/>
  <c r="N64" i="3"/>
  <c r="L65" i="3"/>
  <c r="N65" i="3"/>
  <c r="L66" i="3"/>
  <c r="N66" i="3"/>
  <c r="L67" i="3"/>
  <c r="N67" i="3"/>
  <c r="L68" i="3"/>
  <c r="N68" i="3"/>
  <c r="L69" i="3"/>
  <c r="N69" i="3"/>
  <c r="L70" i="3"/>
  <c r="N70" i="3"/>
  <c r="L71" i="3"/>
  <c r="N71" i="3"/>
  <c r="L72" i="3"/>
  <c r="N72" i="3"/>
  <c r="L73" i="3"/>
  <c r="N73" i="3"/>
  <c r="D90" i="3"/>
  <c r="D92" i="3"/>
  <c r="J94" i="3"/>
  <c r="L94" i="3"/>
  <c r="D97" i="3"/>
  <c r="O109" i="3"/>
  <c r="O110" i="3"/>
  <c r="O111" i="3"/>
  <c r="M115" i="3"/>
  <c r="O115" i="3"/>
  <c r="M116" i="3"/>
  <c r="O116" i="3"/>
  <c r="M117" i="3"/>
  <c r="O117" i="3"/>
  <c r="M118" i="3"/>
  <c r="O118" i="3"/>
  <c r="M119" i="3"/>
  <c r="O119" i="3"/>
  <c r="M120" i="3"/>
  <c r="O120" i="3"/>
  <c r="M121" i="3"/>
  <c r="O121" i="3"/>
  <c r="M122" i="3"/>
  <c r="O122" i="3"/>
  <c r="M123" i="3"/>
  <c r="O123" i="3"/>
  <c r="M124" i="3"/>
  <c r="O124" i="3"/>
  <c r="M125" i="3"/>
  <c r="O125" i="3"/>
  <c r="M126" i="3"/>
  <c r="O126" i="3"/>
  <c r="M127" i="3"/>
  <c r="O127" i="3"/>
  <c r="M128" i="3"/>
  <c r="O128" i="3"/>
  <c r="M129" i="3"/>
  <c r="O129" i="3"/>
  <c r="M130" i="3"/>
  <c r="O130" i="3"/>
  <c r="M131" i="3"/>
  <c r="O131" i="3"/>
  <c r="M132" i="3"/>
  <c r="O132" i="3"/>
  <c r="M133" i="3"/>
  <c r="O133" i="3"/>
  <c r="M134" i="3"/>
  <c r="O134" i="3"/>
  <c r="M135" i="3"/>
  <c r="O135" i="3"/>
  <c r="M136" i="3"/>
  <c r="O136" i="3"/>
  <c r="M137" i="3"/>
  <c r="O137" i="3"/>
  <c r="M138" i="3"/>
  <c r="O138" i="3"/>
  <c r="M139" i="3"/>
  <c r="O139" i="3"/>
  <c r="M140" i="3"/>
  <c r="O140" i="3"/>
  <c r="M141" i="3"/>
  <c r="O141" i="3"/>
  <c r="M142" i="3"/>
  <c r="O142" i="3"/>
  <c r="M143" i="3"/>
  <c r="O143" i="3"/>
  <c r="M144" i="3"/>
  <c r="O144" i="3"/>
  <c r="M145" i="3"/>
  <c r="O145" i="3"/>
  <c r="M146" i="3"/>
  <c r="O146" i="3"/>
  <c r="M147" i="3"/>
  <c r="O147" i="3"/>
  <c r="M148" i="3"/>
  <c r="O148" i="3"/>
  <c r="M149" i="3"/>
  <c r="O149" i="3"/>
  <c r="M150" i="3"/>
  <c r="O150" i="3"/>
  <c r="M151" i="3"/>
  <c r="O151" i="3"/>
  <c r="M152" i="3"/>
  <c r="O152" i="3"/>
  <c r="M153" i="3"/>
  <c r="O153" i="3"/>
  <c r="M154" i="3"/>
  <c r="O154" i="3"/>
  <c r="M155" i="3"/>
  <c r="O155" i="3"/>
  <c r="C40" i="2"/>
  <c r="C52" i="2"/>
  <c r="E24" i="1"/>
  <c r="E34" i="1"/>
  <c r="C38" i="1"/>
  <c r="C42" i="1"/>
  <c r="F43" i="1"/>
  <c r="C44" i="1"/>
  <c r="F45" i="1"/>
  <c r="C50" i="1"/>
  <c r="F62" i="1"/>
  <c r="C72" i="1"/>
  <c r="C86" i="1"/>
  <c r="S128" i="1"/>
  <c r="S129" i="1"/>
  <c r="S130" i="1"/>
  <c r="E31" i="2"/>
  <c r="D19" i="2"/>
  <c r="D18" i="2"/>
  <c r="D17" i="2"/>
  <c r="F13" i="2"/>
  <c r="C76" i="2" s="1"/>
  <c r="J100" i="4"/>
  <c r="J100" i="3"/>
  <c r="E18" i="2"/>
  <c r="E17" i="2"/>
  <c r="E24" i="2"/>
  <c r="F64" i="2"/>
  <c r="C90" i="2"/>
  <c r="C89" i="2"/>
  <c r="C64" i="2"/>
  <c r="C31" i="2"/>
  <c r="C24" i="2"/>
  <c r="C12" i="2"/>
  <c r="B101" i="3"/>
  <c r="B100" i="18"/>
  <c r="B19" i="19"/>
  <c r="B18" i="20"/>
  <c r="B100" i="19"/>
  <c r="B21" i="4"/>
  <c r="B20" i="4"/>
  <c r="B20" i="3"/>
  <c r="B18" i="21"/>
  <c r="B19" i="18"/>
  <c r="C100" i="21"/>
  <c r="C101" i="21" s="1"/>
  <c r="C102" i="21" s="1"/>
  <c r="C103" i="21" s="1"/>
  <c r="C104" i="21" s="1"/>
  <c r="C105" i="21" s="1"/>
  <c r="C106" i="21" s="1"/>
  <c r="C107" i="21" s="1"/>
  <c r="C108" i="21" s="1"/>
  <c r="C109" i="21" s="1"/>
  <c r="C110" i="21" s="1"/>
  <c r="C111" i="21" s="1"/>
  <c r="C112" i="21" s="1"/>
  <c r="C113" i="21" s="1"/>
  <c r="C114" i="21" s="1"/>
  <c r="C115" i="21" s="1"/>
  <c r="C116" i="21" s="1"/>
  <c r="C117" i="21" s="1"/>
  <c r="C118" i="21" s="1"/>
  <c r="C119" i="21" s="1"/>
  <c r="C120" i="21" s="1"/>
  <c r="C121" i="21" s="1"/>
  <c r="C122" i="21" s="1"/>
  <c r="C123" i="21" s="1"/>
  <c r="C124" i="21" s="1"/>
  <c r="C125" i="21" s="1"/>
  <c r="C126" i="21" s="1"/>
  <c r="C127" i="21" s="1"/>
  <c r="C128" i="21" s="1"/>
  <c r="C129" i="21" s="1"/>
  <c r="C130" i="21" s="1"/>
  <c r="C131" i="21" s="1"/>
  <c r="C132" i="21" s="1"/>
  <c r="C133" i="21" s="1"/>
  <c r="C134" i="21" s="1"/>
  <c r="C135" i="21" s="1"/>
  <c r="C136" i="21" s="1"/>
  <c r="C137" i="21" s="1"/>
  <c r="C138" i="21" s="1"/>
  <c r="C139" i="21" s="1"/>
  <c r="C140" i="21" s="1"/>
  <c r="C141" i="21" s="1"/>
  <c r="C142" i="21" s="1"/>
  <c r="C143" i="21" s="1"/>
  <c r="C144" i="21" s="1"/>
  <c r="C145" i="21" s="1"/>
  <c r="C146" i="21" s="1"/>
  <c r="C147" i="21" s="1"/>
  <c r="C148" i="21" s="1"/>
  <c r="C149" i="21" s="1"/>
  <c r="C150" i="21" s="1"/>
  <c r="C151" i="21" s="1"/>
  <c r="C152" i="21" s="1"/>
  <c r="C153" i="21" s="1"/>
  <c r="C154" i="21" s="1"/>
  <c r="C155" i="21" s="1"/>
  <c r="B100" i="21"/>
  <c r="B102" i="3"/>
  <c r="B101" i="19"/>
  <c r="B102" i="4"/>
  <c r="B101" i="18"/>
  <c r="B101" i="21"/>
  <c r="B20" i="19"/>
  <c r="B20" i="18"/>
  <c r="B22" i="3"/>
  <c r="B20" i="21"/>
  <c r="B21" i="19"/>
  <c r="B103" i="4"/>
  <c r="B103" i="3"/>
  <c r="B102" i="19"/>
  <c r="B102" i="21"/>
  <c r="B22" i="4"/>
  <c r="B23" i="3"/>
  <c r="B23" i="4"/>
  <c r="B102" i="18"/>
  <c r="M17" i="28"/>
  <c r="N17" i="28" s="1"/>
  <c r="K17" i="28"/>
  <c r="L17" i="28" s="1"/>
  <c r="J102" i="18"/>
  <c r="I22" i="3"/>
  <c r="B105" i="3"/>
  <c r="B104" i="3"/>
  <c r="B103" i="18"/>
  <c r="B104" i="4"/>
  <c r="B100" i="25"/>
  <c r="E13" i="17"/>
  <c r="B105" i="4"/>
  <c r="B103" i="19"/>
  <c r="B22" i="18"/>
  <c r="B104" i="19"/>
  <c r="J105" i="4"/>
  <c r="B104" i="18"/>
  <c r="B20" i="26"/>
  <c r="B103" i="24"/>
  <c r="B20" i="22"/>
  <c r="B20" i="23"/>
  <c r="B21" i="27"/>
  <c r="B102" i="26"/>
  <c r="J104" i="18"/>
  <c r="I20" i="27"/>
  <c r="I20" i="28"/>
  <c r="I19" i="26"/>
  <c r="I19" i="22"/>
  <c r="B21" i="21"/>
  <c r="B23" i="19"/>
  <c r="I23" i="3"/>
  <c r="B105" i="19"/>
  <c r="I22" i="18"/>
  <c r="I17" i="29"/>
  <c r="B24" i="3"/>
  <c r="B21" i="24"/>
  <c r="I19" i="23"/>
  <c r="I22" i="19"/>
  <c r="I20" i="24"/>
  <c r="B23" i="18"/>
  <c r="I20" i="21"/>
  <c r="B24" i="4"/>
  <c r="I23" i="4"/>
  <c r="J105" i="3"/>
  <c r="I18" i="25"/>
  <c r="B17" i="35"/>
  <c r="B19" i="25"/>
  <c r="B103" i="28"/>
  <c r="B103" i="27"/>
  <c r="B101" i="25"/>
  <c r="B103" i="21"/>
  <c r="B17" i="13"/>
  <c r="I14" i="13"/>
  <c r="E17" i="13"/>
  <c r="B102" i="22"/>
  <c r="A5" i="2"/>
  <c r="B104" i="27"/>
  <c r="B103" i="26"/>
  <c r="B104" i="21"/>
  <c r="B106" i="19"/>
  <c r="B104" i="28"/>
  <c r="B22" i="24"/>
  <c r="B24" i="19"/>
  <c r="B21" i="23"/>
  <c r="B18" i="34"/>
  <c r="J103" i="24"/>
  <c r="J103" i="28"/>
  <c r="J102" i="26"/>
  <c r="J101" i="25"/>
  <c r="J103" i="27"/>
  <c r="J103" i="21"/>
  <c r="J105" i="19"/>
  <c r="B25" i="4"/>
  <c r="I17" i="34"/>
  <c r="I23" i="18"/>
  <c r="I23" i="19"/>
  <c r="I17" i="31"/>
  <c r="I21" i="24"/>
  <c r="I18" i="29"/>
  <c r="I24" i="3"/>
  <c r="I20" i="26"/>
  <c r="B18" i="31"/>
  <c r="I19" i="25"/>
  <c r="I21" i="21"/>
  <c r="B25" i="3"/>
  <c r="I20" i="23"/>
  <c r="I21" i="27"/>
  <c r="I24" i="4"/>
  <c r="B22" i="28"/>
  <c r="B22" i="27"/>
  <c r="B102" i="24"/>
  <c r="B104" i="24"/>
  <c r="B102" i="25"/>
  <c r="B21" i="22"/>
  <c r="B22" i="21"/>
  <c r="I17" i="35"/>
  <c r="I21" i="28"/>
  <c r="B106" i="3"/>
  <c r="B107" i="4"/>
  <c r="B105" i="18"/>
  <c r="J106" i="4"/>
  <c r="J100" i="29"/>
  <c r="J106" i="3"/>
  <c r="J102" i="23"/>
  <c r="J102" i="22"/>
  <c r="J105" i="18"/>
  <c r="J97" i="13"/>
  <c r="B107" i="3"/>
  <c r="D17" i="1"/>
  <c r="E17" i="1"/>
  <c r="I10" i="18"/>
  <c r="D95" i="18" s="1"/>
  <c r="I10" i="22"/>
  <c r="B104" i="22" s="1"/>
  <c r="I10" i="26"/>
  <c r="I10" i="29"/>
  <c r="D95" i="29" s="1"/>
  <c r="E100" i="13"/>
  <c r="B100" i="34"/>
  <c r="B103" i="22"/>
  <c r="E18" i="1"/>
  <c r="E46" i="17"/>
  <c r="B100" i="35"/>
  <c r="J95" i="27"/>
  <c r="J96" i="27" s="1"/>
  <c r="B24" i="18"/>
  <c r="B21" i="26"/>
  <c r="B20" i="25"/>
  <c r="B18" i="35"/>
  <c r="P46" i="17"/>
  <c r="B100" i="31"/>
  <c r="B106" i="18"/>
  <c r="B105" i="21"/>
  <c r="B101" i="35"/>
  <c r="B107" i="19"/>
  <c r="B105" i="27"/>
  <c r="B108" i="4"/>
  <c r="B26" i="3"/>
  <c r="B25" i="19"/>
  <c r="B101" i="34"/>
  <c r="B105" i="28"/>
  <c r="B22" i="22"/>
  <c r="B25" i="18"/>
  <c r="J100" i="31"/>
  <c r="B23" i="21"/>
  <c r="B23" i="24"/>
  <c r="B22" i="23"/>
  <c r="B22" i="26"/>
  <c r="B26" i="4"/>
  <c r="B104" i="26"/>
  <c r="J102" i="25"/>
  <c r="J104" i="24"/>
  <c r="J100" i="35"/>
  <c r="J107" i="4"/>
  <c r="I18" i="34"/>
  <c r="B23" i="28"/>
  <c r="I19" i="29"/>
  <c r="J101" i="29"/>
  <c r="I18" i="31"/>
  <c r="I25" i="4"/>
  <c r="J103" i="22"/>
  <c r="I17" i="37"/>
  <c r="J104" i="21"/>
  <c r="I25" i="3"/>
  <c r="J100" i="34"/>
  <c r="J107" i="3"/>
  <c r="J106" i="18"/>
  <c r="B101" i="31"/>
  <c r="B105" i="24"/>
  <c r="B103" i="25"/>
  <c r="I18" i="35"/>
  <c r="B19" i="34"/>
  <c r="J95" i="20"/>
  <c r="J96" i="20" s="1"/>
  <c r="J95" i="29"/>
  <c r="J96" i="29" s="1"/>
  <c r="J95" i="18"/>
  <c r="J96" i="18" s="1"/>
  <c r="J95" i="38"/>
  <c r="J95" i="34"/>
  <c r="J96" i="34" s="1"/>
  <c r="J95" i="28"/>
  <c r="J96" i="28" s="1"/>
  <c r="J95" i="4"/>
  <c r="J96" i="4" s="1"/>
  <c r="J95" i="37"/>
  <c r="J96" i="37" s="1"/>
  <c r="J95" i="3"/>
  <c r="J96" i="3" s="1"/>
  <c r="J95" i="23"/>
  <c r="J96" i="23" s="1"/>
  <c r="J95" i="19"/>
  <c r="J96" i="19" s="1"/>
  <c r="J95" i="22"/>
  <c r="J96" i="22" s="1"/>
  <c r="J95" i="24"/>
  <c r="J96" i="24" s="1"/>
  <c r="J95" i="26"/>
  <c r="J96" i="26" s="1"/>
  <c r="J95" i="35"/>
  <c r="J96" i="35" s="1"/>
  <c r="J95" i="25"/>
  <c r="J96" i="25" s="1"/>
  <c r="J95" i="21"/>
  <c r="J96" i="21" s="1"/>
  <c r="J95" i="13"/>
  <c r="J96" i="13" s="1"/>
  <c r="E53" i="17"/>
  <c r="C53" i="17"/>
  <c r="N53" i="17"/>
  <c r="F53" i="17"/>
  <c r="O53" i="17"/>
  <c r="B29" i="42" l="1"/>
  <c r="F29" i="42"/>
  <c r="F112" i="42"/>
  <c r="B112" i="42"/>
  <c r="D94" i="34"/>
  <c r="C100" i="34" s="1"/>
  <c r="C101" i="34" s="1"/>
  <c r="C102" i="34" s="1"/>
  <c r="C103" i="34" s="1"/>
  <c r="C104" i="34" s="1"/>
  <c r="C105" i="34" s="1"/>
  <c r="C106" i="34" s="1"/>
  <c r="C107" i="34" s="1"/>
  <c r="C108" i="34" s="1"/>
  <c r="C109" i="34" s="1"/>
  <c r="C110" i="34" s="1"/>
  <c r="C111" i="34" s="1"/>
  <c r="C112" i="34" s="1"/>
  <c r="C113" i="34" s="1"/>
  <c r="C114" i="34" s="1"/>
  <c r="C115" i="34" s="1"/>
  <c r="C116" i="34" s="1"/>
  <c r="C117" i="34" s="1"/>
  <c r="C118" i="34" s="1"/>
  <c r="C119" i="34" s="1"/>
  <c r="C120" i="34" s="1"/>
  <c r="C121" i="34" s="1"/>
  <c r="C122" i="34" s="1"/>
  <c r="C123" i="34" s="1"/>
  <c r="C124" i="34" s="1"/>
  <c r="C125" i="34" s="1"/>
  <c r="C126" i="34" s="1"/>
  <c r="C127" i="34" s="1"/>
  <c r="O18" i="18"/>
  <c r="P101" i="18"/>
  <c r="C101" i="3"/>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P100" i="29"/>
  <c r="P100" i="34"/>
  <c r="P102" i="21"/>
  <c r="P100" i="28"/>
  <c r="P106" i="18"/>
  <c r="P102" i="28"/>
  <c r="P100" i="26"/>
  <c r="O20" i="26"/>
  <c r="O19" i="22"/>
  <c r="P100" i="24"/>
  <c r="P101" i="22"/>
  <c r="P103" i="3"/>
  <c r="P107" i="4"/>
  <c r="P100" i="35"/>
  <c r="O18" i="3"/>
  <c r="O20" i="21"/>
  <c r="P100" i="25"/>
  <c r="O20" i="18"/>
  <c r="O23" i="3"/>
  <c r="P103" i="21"/>
  <c r="O20" i="23"/>
  <c r="P101" i="24"/>
  <c r="O20" i="27"/>
  <c r="O18" i="25"/>
  <c r="O23" i="4"/>
  <c r="O22" i="19"/>
  <c r="O17" i="29"/>
  <c r="P103" i="28"/>
  <c r="O20" i="19"/>
  <c r="O20" i="28"/>
  <c r="P105" i="3"/>
  <c r="O17" i="18"/>
  <c r="O17" i="22"/>
  <c r="O20" i="24"/>
  <c r="P103" i="18"/>
  <c r="O21" i="19"/>
  <c r="O17" i="31"/>
  <c r="O22" i="18"/>
  <c r="P101" i="4"/>
  <c r="P100" i="19"/>
  <c r="O17" i="21"/>
  <c r="P102" i="3"/>
  <c r="O20" i="4"/>
  <c r="O19" i="18"/>
  <c r="O19" i="19"/>
  <c r="P100" i="21"/>
  <c r="P103" i="4"/>
  <c r="O18" i="26"/>
  <c r="P101" i="26"/>
  <c r="O23" i="19"/>
  <c r="O19" i="25"/>
  <c r="P103" i="26"/>
  <c r="O20" i="3"/>
  <c r="O21" i="4"/>
  <c r="P100" i="22"/>
  <c r="O18" i="27"/>
  <c r="P105" i="19"/>
  <c r="P100" i="4"/>
  <c r="O18" i="4"/>
  <c r="P102" i="24"/>
  <c r="O17" i="19"/>
  <c r="O18" i="28"/>
  <c r="P101" i="23"/>
  <c r="P103" i="24"/>
  <c r="P102" i="26"/>
  <c r="O17" i="35"/>
  <c r="O17" i="3"/>
  <c r="O21" i="3"/>
  <c r="P102" i="19"/>
  <c r="O17" i="23"/>
  <c r="O17" i="25"/>
  <c r="O19" i="24"/>
  <c r="P100" i="31"/>
  <c r="P105" i="4"/>
  <c r="O19" i="23"/>
  <c r="O19" i="26"/>
  <c r="P104" i="18"/>
  <c r="P106" i="4"/>
  <c r="O20" i="22"/>
  <c r="P102" i="23"/>
  <c r="O21" i="24"/>
  <c r="O19" i="4"/>
  <c r="R12" i="17"/>
  <c r="T12" i="17" s="1"/>
  <c r="P101" i="3"/>
  <c r="P100" i="18"/>
  <c r="P101" i="21"/>
  <c r="P100" i="27"/>
  <c r="O19" i="21"/>
  <c r="O18" i="22"/>
  <c r="O24" i="4"/>
  <c r="O17" i="26"/>
  <c r="P103" i="23"/>
  <c r="O18" i="19"/>
  <c r="O17" i="4"/>
  <c r="O17" i="20"/>
  <c r="O18" i="29"/>
  <c r="F17" i="13"/>
  <c r="D18" i="13" s="1"/>
  <c r="B18" i="13" s="1"/>
  <c r="O19" i="3"/>
  <c r="P102" i="4"/>
  <c r="O18" i="24"/>
  <c r="P101" i="28"/>
  <c r="O22" i="3"/>
  <c r="O22" i="4"/>
  <c r="O18" i="23"/>
  <c r="P100" i="23"/>
  <c r="O19" i="27"/>
  <c r="P102" i="27"/>
  <c r="O23" i="18"/>
  <c r="P102" i="22"/>
  <c r="P103" i="27"/>
  <c r="C101" i="37"/>
  <c r="C102" i="37" s="1"/>
  <c r="C103" i="37" s="1"/>
  <c r="C104" i="37" s="1"/>
  <c r="C105" i="37" s="1"/>
  <c r="C106" i="37" s="1"/>
  <c r="C107" i="37" s="1"/>
  <c r="C108" i="37" s="1"/>
  <c r="C109" i="37" s="1"/>
  <c r="C110" i="37" s="1"/>
  <c r="C111" i="37" s="1"/>
  <c r="C112" i="37" s="1"/>
  <c r="C113" i="37" s="1"/>
  <c r="C114" i="37" s="1"/>
  <c r="C115" i="37" s="1"/>
  <c r="C116" i="37" s="1"/>
  <c r="C117" i="37" s="1"/>
  <c r="C118" i="37" s="1"/>
  <c r="C119" i="37" s="1"/>
  <c r="C120" i="37" s="1"/>
  <c r="C121" i="37" s="1"/>
  <c r="C122" i="37" s="1"/>
  <c r="C123" i="37" s="1"/>
  <c r="C124" i="37" s="1"/>
  <c r="C125" i="37" s="1"/>
  <c r="C126" i="37" s="1"/>
  <c r="C127" i="37" s="1"/>
  <c r="C128" i="37" s="1"/>
  <c r="C129" i="37" s="1"/>
  <c r="C130" i="37" s="1"/>
  <c r="C131" i="37" s="1"/>
  <c r="C132" i="37" s="1"/>
  <c r="C133" i="37" s="1"/>
  <c r="C134" i="37" s="1"/>
  <c r="C135" i="37" s="1"/>
  <c r="C136" i="37" s="1"/>
  <c r="C137" i="37" s="1"/>
  <c r="C138" i="37" s="1"/>
  <c r="C139" i="37" s="1"/>
  <c r="C140" i="37" s="1"/>
  <c r="C141" i="37" s="1"/>
  <c r="C142" i="37" s="1"/>
  <c r="C143" i="37" s="1"/>
  <c r="C144" i="37" s="1"/>
  <c r="C145" i="37" s="1"/>
  <c r="C146" i="37" s="1"/>
  <c r="C147" i="37" s="1"/>
  <c r="C148" i="37" s="1"/>
  <c r="C149" i="37" s="1"/>
  <c r="C150" i="37" s="1"/>
  <c r="C151" i="37" s="1"/>
  <c r="C152" i="37" s="1"/>
  <c r="C153" i="37" s="1"/>
  <c r="C154" i="37" s="1"/>
  <c r="C155" i="37" s="1"/>
  <c r="O25" i="3"/>
  <c r="D8" i="19"/>
  <c r="D91" i="19" s="1"/>
  <c r="P102" i="18"/>
  <c r="P104" i="3"/>
  <c r="O21" i="18"/>
  <c r="O19" i="28"/>
  <c r="P101" i="25"/>
  <c r="P104" i="21"/>
  <c r="O21" i="26"/>
  <c r="P104" i="28"/>
  <c r="O18" i="21"/>
  <c r="O17" i="24"/>
  <c r="O17" i="27"/>
  <c r="P104" i="4"/>
  <c r="O22" i="21"/>
  <c r="P102" i="25"/>
  <c r="C28" i="2"/>
  <c r="O72" i="13"/>
  <c r="D94" i="23"/>
  <c r="C100" i="23" s="1"/>
  <c r="C101" i="23" s="1"/>
  <c r="C102" i="23" s="1"/>
  <c r="C103" i="23" s="1"/>
  <c r="C104" i="23" s="1"/>
  <c r="C105" i="23" s="1"/>
  <c r="C106" i="23" s="1"/>
  <c r="C107" i="23" s="1"/>
  <c r="C108" i="23" s="1"/>
  <c r="C109" i="23" s="1"/>
  <c r="C110" i="23" s="1"/>
  <c r="C111" i="23" s="1"/>
  <c r="C112" i="23" s="1"/>
  <c r="C113" i="23" s="1"/>
  <c r="C114" i="23" s="1"/>
  <c r="C115" i="23" s="1"/>
  <c r="C116" i="23" s="1"/>
  <c r="C117" i="23" s="1"/>
  <c r="C118" i="23" s="1"/>
  <c r="C119" i="23" s="1"/>
  <c r="C120" i="23" s="1"/>
  <c r="C121" i="23" s="1"/>
  <c r="C122" i="23" s="1"/>
  <c r="C123" i="23" s="1"/>
  <c r="C124" i="23" s="1"/>
  <c r="C125" i="23" s="1"/>
  <c r="C126" i="23" s="1"/>
  <c r="C127" i="23" s="1"/>
  <c r="D95" i="4"/>
  <c r="I12" i="20"/>
  <c r="I13" i="20" s="1"/>
  <c r="I12" i="39"/>
  <c r="D95" i="23"/>
  <c r="B107" i="18"/>
  <c r="C59" i="1"/>
  <c r="D94" i="4"/>
  <c r="C100" i="4" s="1"/>
  <c r="C101" i="4" s="1"/>
  <c r="C102" i="4" s="1"/>
  <c r="C103" i="4" s="1"/>
  <c r="C104" i="4" s="1"/>
  <c r="C105" i="4" s="1"/>
  <c r="C106" i="4" s="1"/>
  <c r="C107" i="4" s="1"/>
  <c r="C108" i="4" s="1"/>
  <c r="C109" i="4" s="1"/>
  <c r="C110" i="4" s="1"/>
  <c r="C111" i="4" s="1"/>
  <c r="C112" i="4" s="1"/>
  <c r="C113" i="4" s="1"/>
  <c r="C114" i="4" s="1"/>
  <c r="C115" i="4" s="1"/>
  <c r="C116" i="4" s="1"/>
  <c r="C117" i="4" s="1"/>
  <c r="C118" i="4" s="1"/>
  <c r="C119" i="4" s="1"/>
  <c r="C120" i="4" s="1"/>
  <c r="C121" i="4" s="1"/>
  <c r="C122" i="4" s="1"/>
  <c r="C123" i="4" s="1"/>
  <c r="C124" i="4" s="1"/>
  <c r="C125" i="4" s="1"/>
  <c r="C126" i="4" s="1"/>
  <c r="C127" i="4" s="1"/>
  <c r="I12" i="26"/>
  <c r="I13" i="26" s="1"/>
  <c r="O42" i="37"/>
  <c r="O52" i="37"/>
  <c r="O54" i="37"/>
  <c r="O64" i="34"/>
  <c r="O21" i="27"/>
  <c r="O21" i="22"/>
  <c r="O24" i="19"/>
  <c r="C59" i="2"/>
  <c r="C77" i="2"/>
  <c r="C50" i="2"/>
  <c r="C14" i="2"/>
  <c r="O18" i="35"/>
  <c r="O18" i="34"/>
  <c r="O18" i="31"/>
  <c r="O25" i="4"/>
  <c r="B108" i="3"/>
  <c r="D94" i="18"/>
  <c r="C100" i="18" s="1"/>
  <c r="C101" i="18" s="1"/>
  <c r="C102" i="18" s="1"/>
  <c r="C103" i="18" s="1"/>
  <c r="C104" i="18" s="1"/>
  <c r="C105" i="18" s="1"/>
  <c r="C106" i="18" s="1"/>
  <c r="C107" i="18" s="1"/>
  <c r="C108" i="18" s="1"/>
  <c r="C109" i="18" s="1"/>
  <c r="C110" i="18" s="1"/>
  <c r="C111" i="18" s="1"/>
  <c r="C112" i="18" s="1"/>
  <c r="C113" i="18" s="1"/>
  <c r="C114" i="18" s="1"/>
  <c r="C115" i="18" s="1"/>
  <c r="C116" i="18" s="1"/>
  <c r="C117" i="18" s="1"/>
  <c r="C118" i="18" s="1"/>
  <c r="C119" i="18" s="1"/>
  <c r="C120" i="18" s="1"/>
  <c r="C121" i="18" s="1"/>
  <c r="C122" i="18" s="1"/>
  <c r="C123" i="18" s="1"/>
  <c r="C124" i="18" s="1"/>
  <c r="C125" i="18" s="1"/>
  <c r="C126" i="18" s="1"/>
  <c r="C127" i="18" s="1"/>
  <c r="D94" i="20"/>
  <c r="C100" i="20" s="1"/>
  <c r="C101" i="20" s="1"/>
  <c r="C102" i="20" s="1"/>
  <c r="C103" i="20" s="1"/>
  <c r="C104" i="20" s="1"/>
  <c r="C105" i="20" s="1"/>
  <c r="C106" i="20" s="1"/>
  <c r="C107" i="20" s="1"/>
  <c r="C108" i="20" s="1"/>
  <c r="C109" i="20" s="1"/>
  <c r="C110" i="20" s="1"/>
  <c r="C111" i="20" s="1"/>
  <c r="C112" i="20" s="1"/>
  <c r="C113" i="20" s="1"/>
  <c r="C114" i="20" s="1"/>
  <c r="C115" i="20" s="1"/>
  <c r="C116" i="20" s="1"/>
  <c r="C117" i="20" s="1"/>
  <c r="C118" i="20" s="1"/>
  <c r="C119" i="20" s="1"/>
  <c r="C120" i="20" s="1"/>
  <c r="C121" i="20" s="1"/>
  <c r="C122" i="20" s="1"/>
  <c r="C123" i="20" s="1"/>
  <c r="C124" i="20" s="1"/>
  <c r="C125" i="20" s="1"/>
  <c r="C126" i="20" s="1"/>
  <c r="C127" i="20" s="1"/>
  <c r="O17" i="37"/>
  <c r="O50" i="19"/>
  <c r="O29" i="19"/>
  <c r="O46" i="35"/>
  <c r="O33" i="21"/>
  <c r="O36" i="35"/>
  <c r="O62" i="37"/>
  <c r="O64" i="37"/>
  <c r="O66" i="37"/>
  <c r="O22" i="28"/>
  <c r="O64" i="24"/>
  <c r="O20" i="25"/>
  <c r="O67" i="25"/>
  <c r="P124" i="31"/>
  <c r="O38" i="35"/>
  <c r="O67" i="26"/>
  <c r="O45" i="38"/>
  <c r="O47" i="38"/>
  <c r="O51" i="38"/>
  <c r="O55" i="38"/>
  <c r="O57" i="38"/>
  <c r="O59" i="38"/>
  <c r="O63" i="38"/>
  <c r="O65" i="38"/>
  <c r="O67" i="38"/>
  <c r="O71" i="38"/>
  <c r="O47" i="13"/>
  <c r="O29" i="13"/>
  <c r="O33" i="25"/>
  <c r="O33" i="26"/>
  <c r="O33" i="28"/>
  <c r="O25" i="38"/>
  <c r="F46" i="1"/>
  <c r="F50" i="1" s="1"/>
  <c r="D95" i="20"/>
  <c r="E100" i="20"/>
  <c r="O30" i="23"/>
  <c r="O52" i="23"/>
  <c r="O54" i="23"/>
  <c r="O66" i="23"/>
  <c r="O62" i="24"/>
  <c r="O72" i="24"/>
  <c r="O24" i="25"/>
  <c r="O28" i="25"/>
  <c r="O30" i="25"/>
  <c r="O36" i="25"/>
  <c r="O38" i="25"/>
  <c r="O44" i="25"/>
  <c r="O64" i="25"/>
  <c r="O66" i="25"/>
  <c r="O68" i="25"/>
  <c r="O70" i="25"/>
  <c r="O25" i="26"/>
  <c r="O41" i="26"/>
  <c r="O43" i="26"/>
  <c r="O53" i="26"/>
  <c r="O48" i="27"/>
  <c r="O21" i="37"/>
  <c r="O27" i="37"/>
  <c r="O73" i="37"/>
  <c r="O69" i="38"/>
  <c r="C48" i="1"/>
  <c r="C71" i="1"/>
  <c r="C74" i="1"/>
  <c r="D94" i="19"/>
  <c r="C100" i="19" s="1"/>
  <c r="C101" i="19" s="1"/>
  <c r="C102" i="19" s="1"/>
  <c r="C103" i="19" s="1"/>
  <c r="C104" i="19" s="1"/>
  <c r="C105" i="19" s="1"/>
  <c r="C106" i="19" s="1"/>
  <c r="C107" i="19" s="1"/>
  <c r="C108" i="19" s="1"/>
  <c r="C109" i="19" s="1"/>
  <c r="C110" i="19" s="1"/>
  <c r="C111" i="19" s="1"/>
  <c r="C112" i="19" s="1"/>
  <c r="C113" i="19" s="1"/>
  <c r="C114" i="19" s="1"/>
  <c r="C115" i="19" s="1"/>
  <c r="C116" i="19" s="1"/>
  <c r="C117" i="19" s="1"/>
  <c r="C118" i="19" s="1"/>
  <c r="C119" i="19" s="1"/>
  <c r="C120" i="19" s="1"/>
  <c r="C121" i="19" s="1"/>
  <c r="C122" i="19" s="1"/>
  <c r="C123" i="19" s="1"/>
  <c r="C124" i="19" s="1"/>
  <c r="C125" i="19" s="1"/>
  <c r="C126" i="19" s="1"/>
  <c r="C127" i="19" s="1"/>
  <c r="C128" i="19" s="1"/>
  <c r="C129" i="19" s="1"/>
  <c r="C130" i="19" s="1"/>
  <c r="C131" i="19" s="1"/>
  <c r="C132" i="19" s="1"/>
  <c r="C133" i="19" s="1"/>
  <c r="C134" i="19" s="1"/>
  <c r="C135" i="19" s="1"/>
  <c r="C136" i="19" s="1"/>
  <c r="C137" i="19" s="1"/>
  <c r="C138" i="19" s="1"/>
  <c r="C139" i="19" s="1"/>
  <c r="C140" i="19" s="1"/>
  <c r="C141" i="19" s="1"/>
  <c r="C142" i="19" s="1"/>
  <c r="C143" i="19" s="1"/>
  <c r="C144" i="19" s="1"/>
  <c r="C145" i="19" s="1"/>
  <c r="C146" i="19" s="1"/>
  <c r="C147" i="19" s="1"/>
  <c r="C148" i="19" s="1"/>
  <c r="C149" i="19" s="1"/>
  <c r="C150" i="19" s="1"/>
  <c r="C151" i="19" s="1"/>
  <c r="C152" i="19" s="1"/>
  <c r="C153" i="19" s="1"/>
  <c r="C154" i="19" s="1"/>
  <c r="C155" i="19" s="1"/>
  <c r="C10" i="1"/>
  <c r="C54" i="1"/>
  <c r="C28" i="1"/>
  <c r="C77" i="1"/>
  <c r="C57" i="1"/>
  <c r="D94" i="25"/>
  <c r="C100" i="25" s="1"/>
  <c r="C101" i="25" s="1"/>
  <c r="C102" i="25" s="1"/>
  <c r="C103" i="25" s="1"/>
  <c r="C104" i="25" s="1"/>
  <c r="C105" i="25" s="1"/>
  <c r="C106" i="25" s="1"/>
  <c r="C107" i="25" s="1"/>
  <c r="C108" i="25" s="1"/>
  <c r="C109" i="25" s="1"/>
  <c r="C110" i="25" s="1"/>
  <c r="C111" i="25" s="1"/>
  <c r="C112" i="25" s="1"/>
  <c r="C113" i="25" s="1"/>
  <c r="C114" i="25" s="1"/>
  <c r="C115" i="25" s="1"/>
  <c r="C116" i="25" s="1"/>
  <c r="C117" i="25" s="1"/>
  <c r="C118" i="25" s="1"/>
  <c r="C119" i="25" s="1"/>
  <c r="C120" i="25" s="1"/>
  <c r="C121" i="25" s="1"/>
  <c r="C122" i="25" s="1"/>
  <c r="C123" i="25" s="1"/>
  <c r="C124" i="25" s="1"/>
  <c r="C125" i="25" s="1"/>
  <c r="C126" i="25" s="1"/>
  <c r="C127" i="25" s="1"/>
  <c r="F14" i="1"/>
  <c r="E19" i="1" s="1"/>
  <c r="F19" i="1" s="1"/>
  <c r="C76" i="1"/>
  <c r="C79" i="1"/>
  <c r="C8" i="1"/>
  <c r="F18" i="1"/>
  <c r="C73" i="1"/>
  <c r="C53" i="1"/>
  <c r="C14" i="1"/>
  <c r="C22" i="1"/>
  <c r="C60" i="1"/>
  <c r="P109" i="37"/>
  <c r="P121" i="37"/>
  <c r="P125" i="37"/>
  <c r="P129" i="37"/>
  <c r="O71" i="21"/>
  <c r="O67" i="21"/>
  <c r="O53" i="21"/>
  <c r="O43" i="21"/>
  <c r="O37" i="21"/>
  <c r="O39" i="22"/>
  <c r="O41" i="22"/>
  <c r="O43" i="22"/>
  <c r="O47" i="22"/>
  <c r="O49" i="22"/>
  <c r="O53" i="22"/>
  <c r="O55" i="22"/>
  <c r="O57" i="22"/>
  <c r="O59" i="22"/>
  <c r="O61" i="22"/>
  <c r="O69" i="22"/>
  <c r="O71" i="22"/>
  <c r="O38" i="28"/>
  <c r="O40" i="28"/>
  <c r="O35" i="31"/>
  <c r="O52" i="31"/>
  <c r="O60" i="31"/>
  <c r="P128" i="31"/>
  <c r="O26" i="35"/>
  <c r="O28" i="35"/>
  <c r="P119" i="35"/>
  <c r="P123" i="35"/>
  <c r="P127" i="35"/>
  <c r="P131" i="35"/>
  <c r="P115" i="35"/>
  <c r="P103" i="35"/>
  <c r="P111" i="35"/>
  <c r="P110" i="38"/>
  <c r="P112" i="31"/>
  <c r="P114" i="37"/>
  <c r="P122" i="37"/>
  <c r="P126" i="37"/>
  <c r="P130" i="37"/>
  <c r="P109" i="38"/>
  <c r="P113" i="38"/>
  <c r="P121" i="38"/>
  <c r="O50" i="4"/>
  <c r="O44" i="4"/>
  <c r="O38" i="4"/>
  <c r="P108" i="31"/>
  <c r="O26" i="34"/>
  <c r="O28" i="34"/>
  <c r="O30" i="34"/>
  <c r="O36" i="34"/>
  <c r="O38" i="34"/>
  <c r="O42" i="34"/>
  <c r="O34" i="35"/>
  <c r="O40" i="35"/>
  <c r="O42" i="35"/>
  <c r="O44" i="35"/>
  <c r="O48" i="35"/>
  <c r="O52" i="35"/>
  <c r="O54" i="35"/>
  <c r="O56" i="35"/>
  <c r="O36" i="4"/>
  <c r="O63" i="20"/>
  <c r="O59" i="20"/>
  <c r="O55" i="20"/>
  <c r="O41" i="20"/>
  <c r="O39" i="20"/>
  <c r="O37" i="20"/>
  <c r="O35" i="20"/>
  <c r="O33" i="20"/>
  <c r="O30" i="20"/>
  <c r="O28" i="20"/>
  <c r="O26" i="20"/>
  <c r="O24" i="20"/>
  <c r="O22" i="20"/>
  <c r="O20" i="20"/>
  <c r="O18" i="20"/>
  <c r="O70" i="21"/>
  <c r="O52" i="21"/>
  <c r="O50" i="21"/>
  <c r="O48" i="21"/>
  <c r="O27" i="21"/>
  <c r="O25" i="22"/>
  <c r="O48" i="22"/>
  <c r="O50" i="22"/>
  <c r="O62" i="22"/>
  <c r="O64" i="22"/>
  <c r="O66" i="22"/>
  <c r="O27" i="28"/>
  <c r="O39" i="28"/>
  <c r="O41" i="28"/>
  <c r="O45" i="28"/>
  <c r="O47" i="28"/>
  <c r="O51" i="28"/>
  <c r="O53" i="28"/>
  <c r="O57" i="28"/>
  <c r="O61" i="28"/>
  <c r="O23" i="34"/>
  <c r="O27" i="34"/>
  <c r="O29" i="34"/>
  <c r="O37" i="34"/>
  <c r="O39" i="34"/>
  <c r="O49" i="34"/>
  <c r="O51" i="34"/>
  <c r="O53" i="34"/>
  <c r="O65" i="34"/>
  <c r="O23" i="35"/>
  <c r="O29" i="35"/>
  <c r="O35" i="35"/>
  <c r="O39" i="35"/>
  <c r="O43" i="35"/>
  <c r="O47" i="35"/>
  <c r="O61" i="35"/>
  <c r="O65" i="35"/>
  <c r="O67" i="35"/>
  <c r="O69" i="35"/>
  <c r="O73" i="35"/>
  <c r="O73" i="13"/>
  <c r="O32" i="37"/>
  <c r="O36" i="37"/>
  <c r="O68" i="37"/>
  <c r="O70" i="37"/>
  <c r="P110" i="37"/>
  <c r="F84" i="1"/>
  <c r="F85" i="1" s="1"/>
  <c r="F87" i="1" s="1"/>
  <c r="F88" i="1" s="1"/>
  <c r="O26" i="38"/>
  <c r="O28" i="38"/>
  <c r="O30" i="38"/>
  <c r="O40" i="38"/>
  <c r="O44" i="38"/>
  <c r="O48" i="38"/>
  <c r="O50" i="38"/>
  <c r="O52" i="38"/>
  <c r="O54" i="38"/>
  <c r="O56" i="38"/>
  <c r="O58" i="38"/>
  <c r="O60" i="38"/>
  <c r="O62" i="38"/>
  <c r="O64" i="38"/>
  <c r="O68" i="38"/>
  <c r="O70" i="38"/>
  <c r="O72" i="38"/>
  <c r="P116" i="21"/>
  <c r="P107" i="21"/>
  <c r="P131" i="31"/>
  <c r="O72" i="3"/>
  <c r="O66" i="3"/>
  <c r="O64" i="3"/>
  <c r="O56" i="3"/>
  <c r="O52" i="3"/>
  <c r="O29" i="3"/>
  <c r="O56" i="13"/>
  <c r="O52" i="13"/>
  <c r="O38" i="13"/>
  <c r="O34" i="13"/>
  <c r="O55" i="18"/>
  <c r="O51" i="18"/>
  <c r="O39" i="18"/>
  <c r="O37" i="18"/>
  <c r="O35" i="18"/>
  <c r="O28" i="18"/>
  <c r="O73" i="19"/>
  <c r="O71" i="19"/>
  <c r="O67" i="19"/>
  <c r="O37" i="19"/>
  <c r="O35" i="19"/>
  <c r="O70" i="20"/>
  <c r="O46" i="20"/>
  <c r="O44" i="20"/>
  <c r="O31" i="20"/>
  <c r="O27" i="20"/>
  <c r="O58" i="34"/>
  <c r="P122" i="34"/>
  <c r="P124" i="34"/>
  <c r="P123" i="22"/>
  <c r="P131" i="22"/>
  <c r="P115" i="24"/>
  <c r="P131" i="24"/>
  <c r="P105" i="25"/>
  <c r="P121" i="25"/>
  <c r="P131" i="25"/>
  <c r="P107" i="27"/>
  <c r="P113" i="27"/>
  <c r="P105" i="29"/>
  <c r="P123" i="29"/>
  <c r="P131" i="29"/>
  <c r="O32" i="26"/>
  <c r="P102" i="35"/>
  <c r="P110" i="35"/>
  <c r="P114" i="35"/>
  <c r="P118" i="35"/>
  <c r="P122" i="35"/>
  <c r="P130" i="35"/>
  <c r="P119" i="22"/>
  <c r="P127" i="22"/>
  <c r="P119" i="24"/>
  <c r="P117" i="25"/>
  <c r="P123" i="25"/>
  <c r="P129" i="25"/>
  <c r="P119" i="27"/>
  <c r="P127" i="27"/>
  <c r="P109" i="29"/>
  <c r="P115" i="29"/>
  <c r="P119" i="29"/>
  <c r="P125" i="29"/>
  <c r="P129" i="29"/>
  <c r="O32" i="19"/>
  <c r="O32" i="24"/>
  <c r="P129" i="4"/>
  <c r="P125" i="18"/>
  <c r="O42" i="19"/>
  <c r="P111" i="22"/>
  <c r="P117" i="22"/>
  <c r="P113" i="25"/>
  <c r="P119" i="25"/>
  <c r="P127" i="25"/>
  <c r="P115" i="27"/>
  <c r="P123" i="27"/>
  <c r="P131" i="27"/>
  <c r="P109" i="28"/>
  <c r="O33" i="31"/>
  <c r="O42" i="31"/>
  <c r="O43" i="3"/>
  <c r="O41" i="3"/>
  <c r="O39" i="3"/>
  <c r="O35" i="3"/>
  <c r="O33" i="3"/>
  <c r="O32" i="3"/>
  <c r="O32" i="20"/>
  <c r="O37" i="38"/>
  <c r="P120" i="38"/>
  <c r="O45" i="3"/>
  <c r="O24" i="23"/>
  <c r="O38" i="23"/>
  <c r="O58" i="23"/>
  <c r="O64" i="23"/>
  <c r="O24" i="24"/>
  <c r="O26" i="24"/>
  <c r="O54" i="24"/>
  <c r="O56" i="24"/>
  <c r="O58" i="24"/>
  <c r="O60" i="24"/>
  <c r="O66" i="24"/>
  <c r="O70" i="24"/>
  <c r="O40" i="25"/>
  <c r="O50" i="25"/>
  <c r="O52" i="25"/>
  <c r="O54" i="25"/>
  <c r="O31" i="26"/>
  <c r="O37" i="26"/>
  <c r="O39" i="26"/>
  <c r="O45" i="26"/>
  <c r="O51" i="26"/>
  <c r="O61" i="26"/>
  <c r="O62" i="27"/>
  <c r="O70" i="27"/>
  <c r="P146" i="3"/>
  <c r="P144" i="19"/>
  <c r="P134" i="19"/>
  <c r="P132" i="19"/>
  <c r="P124" i="19"/>
  <c r="P148" i="21"/>
  <c r="P144" i="21"/>
  <c r="P140" i="21"/>
  <c r="P138" i="21"/>
  <c r="P136" i="21"/>
  <c r="P124" i="21"/>
  <c r="P120" i="21"/>
  <c r="P108" i="21"/>
  <c r="O28" i="29"/>
  <c r="O34" i="29"/>
  <c r="O40" i="29"/>
  <c r="O42" i="29"/>
  <c r="O44" i="29"/>
  <c r="O46" i="29"/>
  <c r="O48" i="29"/>
  <c r="O50" i="29"/>
  <c r="O56" i="29"/>
  <c r="O60" i="29"/>
  <c r="O62" i="29"/>
  <c r="O64" i="29"/>
  <c r="O66" i="29"/>
  <c r="O68" i="29"/>
  <c r="O72" i="29"/>
  <c r="O39" i="31"/>
  <c r="O62" i="35"/>
  <c r="O66" i="35"/>
  <c r="O68" i="35"/>
  <c r="O19" i="38"/>
  <c r="O41" i="38"/>
  <c r="O37" i="29"/>
  <c r="O41" i="29"/>
  <c r="O49" i="29"/>
  <c r="O51" i="29"/>
  <c r="O53" i="29"/>
  <c r="O55" i="29"/>
  <c r="O59" i="29"/>
  <c r="O65" i="29"/>
  <c r="O67" i="29"/>
  <c r="O73" i="29"/>
  <c r="O27" i="38"/>
  <c r="O29" i="38"/>
  <c r="O33" i="38"/>
  <c r="P116" i="31"/>
  <c r="P139" i="20"/>
  <c r="P133" i="20"/>
  <c r="P113" i="34"/>
  <c r="P117" i="34"/>
  <c r="P119" i="34"/>
  <c r="P121" i="34"/>
  <c r="P151" i="3"/>
  <c r="P123" i="13"/>
  <c r="P153" i="19"/>
  <c r="P109" i="19"/>
  <c r="P152" i="4"/>
  <c r="P144" i="4"/>
  <c r="P140" i="4"/>
  <c r="P132" i="4"/>
  <c r="P130" i="4"/>
  <c r="P124" i="4"/>
  <c r="P120" i="4"/>
  <c r="P154" i="18"/>
  <c r="P152" i="18"/>
  <c r="P150" i="18"/>
  <c r="P148" i="18"/>
  <c r="P144" i="18"/>
  <c r="P142" i="18"/>
  <c r="P140" i="18"/>
  <c r="P138" i="18"/>
  <c r="P136" i="18"/>
  <c r="P134" i="18"/>
  <c r="P122" i="18"/>
  <c r="P155" i="20"/>
  <c r="P153" i="20"/>
  <c r="P141" i="20"/>
  <c r="P125" i="20"/>
  <c r="P104" i="31"/>
  <c r="P109" i="18"/>
  <c r="P124" i="20"/>
  <c r="P120" i="20"/>
  <c r="P116" i="20"/>
  <c r="P112" i="20"/>
  <c r="P108" i="20"/>
  <c r="P107" i="23"/>
  <c r="P115" i="23"/>
  <c r="P121" i="23"/>
  <c r="P125" i="23"/>
  <c r="P127" i="23"/>
  <c r="P108" i="24"/>
  <c r="P112" i="25"/>
  <c r="P124" i="25"/>
  <c r="P126" i="25"/>
  <c r="P128" i="25"/>
  <c r="P114" i="26"/>
  <c r="P122" i="26"/>
  <c r="P130" i="26"/>
  <c r="P106" i="28"/>
  <c r="P112" i="28"/>
  <c r="P118" i="28"/>
  <c r="P122" i="28"/>
  <c r="P126" i="28"/>
  <c r="P128" i="28"/>
  <c r="P123" i="31"/>
  <c r="P127" i="31"/>
  <c r="P133" i="31"/>
  <c r="P135" i="31"/>
  <c r="P139" i="31"/>
  <c r="P129" i="13"/>
  <c r="P125" i="13"/>
  <c r="P121" i="13"/>
  <c r="P117" i="13"/>
  <c r="P113" i="13"/>
  <c r="P109" i="13"/>
  <c r="P103" i="13"/>
  <c r="P153" i="21"/>
  <c r="P145" i="21"/>
  <c r="P120" i="31"/>
  <c r="P127" i="37"/>
  <c r="P115" i="3"/>
  <c r="P111" i="3"/>
  <c r="P122" i="31"/>
  <c r="P120" i="13"/>
  <c r="P129" i="34"/>
  <c r="P135" i="20"/>
  <c r="P131" i="20"/>
  <c r="P127" i="20"/>
  <c r="P123" i="20"/>
  <c r="P119" i="20"/>
  <c r="P129" i="28"/>
  <c r="P127" i="3"/>
  <c r="P118" i="22"/>
  <c r="P126" i="22"/>
  <c r="P105" i="23"/>
  <c r="P113" i="23"/>
  <c r="P117" i="23"/>
  <c r="P123" i="23"/>
  <c r="P110" i="31"/>
  <c r="P121" i="4"/>
  <c r="P117" i="4"/>
  <c r="C100" i="13"/>
  <c r="D100" i="13" s="1"/>
  <c r="B100" i="13" s="1"/>
  <c r="O70" i="13"/>
  <c r="O68" i="13"/>
  <c r="O66" i="13"/>
  <c r="O64" i="13"/>
  <c r="O62" i="13"/>
  <c r="O60" i="13"/>
  <c r="O50" i="13"/>
  <c r="O32" i="13"/>
  <c r="O28" i="19"/>
  <c r="O23" i="23"/>
  <c r="O29" i="23"/>
  <c r="O39" i="23"/>
  <c r="O41" i="23"/>
  <c r="O49" i="23"/>
  <c r="O53" i="23"/>
  <c r="O59" i="23"/>
  <c r="O61" i="23"/>
  <c r="O49" i="24"/>
  <c r="O67" i="27"/>
  <c r="O69" i="27"/>
  <c r="O35" i="34"/>
  <c r="O45" i="35"/>
  <c r="O65" i="23"/>
  <c r="O69" i="23"/>
  <c r="O27" i="24"/>
  <c r="O31" i="24"/>
  <c r="O39" i="24"/>
  <c r="O45" i="24"/>
  <c r="O59" i="25"/>
  <c r="O71" i="25"/>
  <c r="O26" i="26"/>
  <c r="O30" i="26"/>
  <c r="O44" i="26"/>
  <c r="O58" i="26"/>
  <c r="O65" i="27"/>
  <c r="O72" i="4"/>
  <c r="O68" i="4"/>
  <c r="O60" i="4"/>
  <c r="O52" i="4"/>
  <c r="O48" i="4"/>
  <c r="O46" i="4"/>
  <c r="O40" i="4"/>
  <c r="O29" i="4"/>
  <c r="O69" i="13"/>
  <c r="O63" i="13"/>
  <c r="O57" i="13"/>
  <c r="O55" i="13"/>
  <c r="O53" i="13"/>
  <c r="O51" i="13"/>
  <c r="O49" i="13"/>
  <c r="O45" i="13"/>
  <c r="O43" i="13"/>
  <c r="O41" i="13"/>
  <c r="O27" i="13"/>
  <c r="O25" i="13"/>
  <c r="O72" i="18"/>
  <c r="O70" i="18"/>
  <c r="O68" i="18"/>
  <c r="O64" i="18"/>
  <c r="O58" i="18"/>
  <c r="O56" i="18"/>
  <c r="O54" i="18"/>
  <c r="O52" i="18"/>
  <c r="O50" i="18"/>
  <c r="O48" i="18"/>
  <c r="O46" i="18"/>
  <c r="O44" i="18"/>
  <c r="O42" i="18"/>
  <c r="O34" i="18"/>
  <c r="O27" i="18"/>
  <c r="O21" i="38"/>
  <c r="O63" i="23"/>
  <c r="O67" i="23"/>
  <c r="O35" i="24"/>
  <c r="O37" i="24"/>
  <c r="O41" i="24"/>
  <c r="O43" i="24"/>
  <c r="O55" i="24"/>
  <c r="O61" i="24"/>
  <c r="O65" i="24"/>
  <c r="O25" i="25"/>
  <c r="O24" i="26"/>
  <c r="O34" i="26"/>
  <c r="O38" i="26"/>
  <c r="O48" i="26"/>
  <c r="O62" i="26"/>
  <c r="O43" i="27"/>
  <c r="O73" i="27"/>
  <c r="O69" i="4"/>
  <c r="O67" i="4"/>
  <c r="O65" i="4"/>
  <c r="O61" i="4"/>
  <c r="O59" i="4"/>
  <c r="O57" i="4"/>
  <c r="O49" i="4"/>
  <c r="O47" i="4"/>
  <c r="O45" i="4"/>
  <c r="O43" i="4"/>
  <c r="O35" i="4"/>
  <c r="O33" i="4"/>
  <c r="O28" i="4"/>
  <c r="O73" i="18"/>
  <c r="O61" i="18"/>
  <c r="O45" i="18"/>
  <c r="O72" i="20"/>
  <c r="O58" i="20"/>
  <c r="O56" i="20"/>
  <c r="O52" i="20"/>
  <c r="O73" i="21"/>
  <c r="O69" i="21"/>
  <c r="O65" i="21"/>
  <c r="O55" i="21"/>
  <c r="O49" i="21"/>
  <c r="O47" i="21"/>
  <c r="O45" i="21"/>
  <c r="O41" i="21"/>
  <c r="O39" i="21"/>
  <c r="O35" i="21"/>
  <c r="O37" i="22"/>
  <c r="O45" i="22"/>
  <c r="O30" i="28"/>
  <c r="O34" i="28"/>
  <c r="O36" i="28"/>
  <c r="O64" i="28"/>
  <c r="O66" i="28"/>
  <c r="O22" i="29"/>
  <c r="O24" i="29"/>
  <c r="O30" i="29"/>
  <c r="O40" i="34"/>
  <c r="O44" i="34"/>
  <c r="O46" i="34"/>
  <c r="O50" i="34"/>
  <c r="O52" i="34"/>
  <c r="O54" i="34"/>
  <c r="O60" i="34"/>
  <c r="O62" i="34"/>
  <c r="O68" i="34"/>
  <c r="O30" i="31"/>
  <c r="O57" i="34"/>
  <c r="O21" i="35"/>
  <c r="O31" i="35"/>
  <c r="O49" i="35"/>
  <c r="O32" i="38"/>
  <c r="O71" i="20"/>
  <c r="O67" i="20"/>
  <c r="O65" i="20"/>
  <c r="O57" i="20"/>
  <c r="O53" i="20"/>
  <c r="E18" i="20"/>
  <c r="F18" i="20" s="1"/>
  <c r="B19" i="20" s="1"/>
  <c r="O34" i="22"/>
  <c r="O25" i="28"/>
  <c r="O59" i="28"/>
  <c r="O63" i="28"/>
  <c r="O69" i="28"/>
  <c r="O71" i="28"/>
  <c r="O73" i="28"/>
  <c r="O27" i="29"/>
  <c r="O29" i="29"/>
  <c r="O31" i="29"/>
  <c r="O21" i="34"/>
  <c r="O41" i="34"/>
  <c r="O71" i="34"/>
  <c r="O27" i="35"/>
  <c r="O37" i="35"/>
  <c r="O71" i="35"/>
  <c r="O66" i="38"/>
  <c r="O71" i="3"/>
  <c r="O69" i="3"/>
  <c r="O67" i="3"/>
  <c r="O63" i="3"/>
  <c r="O61" i="3"/>
  <c r="O59" i="3"/>
  <c r="O47" i="3"/>
  <c r="O30" i="3"/>
  <c r="O72" i="19"/>
  <c r="O26" i="31"/>
  <c r="O36" i="31"/>
  <c r="O49" i="31"/>
  <c r="O61" i="31"/>
  <c r="O59" i="35"/>
  <c r="O36" i="38"/>
  <c r="O26" i="18"/>
  <c r="O27" i="19"/>
  <c r="O44" i="24"/>
  <c r="O73" i="26"/>
  <c r="O30" i="27"/>
  <c r="O34" i="27"/>
  <c r="O36" i="27"/>
  <c r="O40" i="27"/>
  <c r="O42" i="27"/>
  <c r="O52" i="27"/>
  <c r="O60" i="27"/>
  <c r="O66" i="27"/>
  <c r="O68" i="27"/>
  <c r="O69" i="29"/>
  <c r="O19" i="37"/>
  <c r="O25" i="37"/>
  <c r="O29" i="37"/>
  <c r="O31" i="37"/>
  <c r="O33" i="37"/>
  <c r="O43" i="37"/>
  <c r="O35" i="29"/>
  <c r="O28" i="31"/>
  <c r="O34" i="31"/>
  <c r="O40" i="31"/>
  <c r="O47" i="31"/>
  <c r="O22" i="38"/>
  <c r="O34" i="38"/>
  <c r="O38" i="38"/>
  <c r="O42" i="38"/>
  <c r="O61" i="21"/>
  <c r="O59" i="21"/>
  <c r="O51" i="21"/>
  <c r="O30" i="21"/>
  <c r="O24" i="21"/>
  <c r="O24" i="22"/>
  <c r="O26" i="22"/>
  <c r="O63" i="22"/>
  <c r="O73" i="22"/>
  <c r="O47" i="24"/>
  <c r="O51" i="24"/>
  <c r="O73" i="24"/>
  <c r="O63" i="25"/>
  <c r="O36" i="26"/>
  <c r="O68" i="26"/>
  <c r="O70" i="26"/>
  <c r="O26" i="28"/>
  <c r="O42" i="28"/>
  <c r="O44" i="28"/>
  <c r="O50" i="28"/>
  <c r="O56" i="31"/>
  <c r="O62" i="31"/>
  <c r="O70" i="31"/>
  <c r="O33" i="18"/>
  <c r="O32" i="23"/>
  <c r="O32" i="29"/>
  <c r="O18" i="37"/>
  <c r="O22" i="37"/>
  <c r="O26" i="37"/>
  <c r="O28" i="37"/>
  <c r="O63" i="24"/>
  <c r="O69" i="24"/>
  <c r="O29" i="25"/>
  <c r="O35" i="25"/>
  <c r="O39" i="25"/>
  <c r="O47" i="25"/>
  <c r="O69" i="25"/>
  <c r="O40" i="26"/>
  <c r="O48" i="28"/>
  <c r="O62" i="28"/>
  <c r="O20" i="38"/>
  <c r="O58" i="4"/>
  <c r="O54" i="4"/>
  <c r="O34" i="4"/>
  <c r="O46" i="21"/>
  <c r="O44" i="21"/>
  <c r="O42" i="21"/>
  <c r="O23" i="22"/>
  <c r="O48" i="31"/>
  <c r="O64" i="35"/>
  <c r="O70" i="35"/>
  <c r="O72" i="34"/>
  <c r="O59" i="24"/>
  <c r="O67" i="24"/>
  <c r="O71" i="24"/>
  <c r="O23" i="25"/>
  <c r="O31" i="25"/>
  <c r="O37" i="25"/>
  <c r="O45" i="25"/>
  <c r="O49" i="25"/>
  <c r="O61" i="25"/>
  <c r="O65" i="25"/>
  <c r="O66" i="26"/>
  <c r="O46" i="28"/>
  <c r="O58" i="28"/>
  <c r="O60" i="28"/>
  <c r="O51" i="37"/>
  <c r="O53" i="37"/>
  <c r="O55" i="37"/>
  <c r="O59" i="37"/>
  <c r="O61" i="37"/>
  <c r="O65" i="37"/>
  <c r="O67" i="37"/>
  <c r="O69" i="37"/>
  <c r="O71" i="37"/>
  <c r="O18" i="38"/>
  <c r="O57" i="3"/>
  <c r="O53" i="3"/>
  <c r="O51" i="3"/>
  <c r="O28" i="3"/>
  <c r="O51" i="31"/>
  <c r="O55" i="31"/>
  <c r="O57" i="31"/>
  <c r="O50" i="37"/>
  <c r="O62" i="3"/>
  <c r="O67" i="13"/>
  <c r="O65" i="13"/>
  <c r="O23" i="13"/>
  <c r="O17" i="13"/>
  <c r="O69" i="18"/>
  <c r="O67" i="18"/>
  <c r="O43" i="18"/>
  <c r="O41" i="18"/>
  <c r="O63" i="19"/>
  <c r="O50" i="20"/>
  <c r="O40" i="23"/>
  <c r="O42" i="23"/>
  <c r="O44" i="23"/>
  <c r="O60" i="23"/>
  <c r="O62" i="23"/>
  <c r="O68" i="23"/>
  <c r="O72" i="23"/>
  <c r="O30" i="24"/>
  <c r="O34" i="24"/>
  <c r="O36" i="24"/>
  <c r="O38" i="24"/>
  <c r="O40" i="24"/>
  <c r="O42" i="24"/>
  <c r="O50" i="24"/>
  <c r="O37" i="27"/>
  <c r="O39" i="27"/>
  <c r="O41" i="27"/>
  <c r="O47" i="27"/>
  <c r="O49" i="27"/>
  <c r="O53" i="27"/>
  <c r="O55" i="27"/>
  <c r="O71" i="27"/>
  <c r="O23" i="31"/>
  <c r="O27" i="31"/>
  <c r="O37" i="31"/>
  <c r="O44" i="31"/>
  <c r="O46" i="31"/>
  <c r="O50" i="31"/>
  <c r="O63" i="31"/>
  <c r="O69" i="31"/>
  <c r="O71" i="31"/>
  <c r="O73" i="31"/>
  <c r="O41" i="31"/>
  <c r="O43" i="31"/>
  <c r="O40" i="3"/>
  <c r="O38" i="3"/>
  <c r="O32" i="18"/>
  <c r="O33" i="19"/>
  <c r="O45" i="34"/>
  <c r="O47" i="34"/>
  <c r="O55" i="34"/>
  <c r="O59" i="34"/>
  <c r="O61" i="34"/>
  <c r="O63" i="34"/>
  <c r="O51" i="35"/>
  <c r="O53" i="35"/>
  <c r="O55" i="35"/>
  <c r="O57" i="35"/>
  <c r="O63" i="35"/>
  <c r="O34" i="37"/>
  <c r="O40" i="37"/>
  <c r="O44" i="37"/>
  <c r="O48" i="37"/>
  <c r="O62" i="4"/>
  <c r="O40" i="13"/>
  <c r="O36" i="13"/>
  <c r="O22" i="13"/>
  <c r="O20" i="13"/>
  <c r="O58" i="19"/>
  <c r="O36" i="19"/>
  <c r="O34" i="19"/>
  <c r="O47" i="20"/>
  <c r="O45" i="20"/>
  <c r="O43" i="20"/>
  <c r="O38" i="20"/>
  <c r="O36" i="20"/>
  <c r="O46" i="27"/>
  <c r="O54" i="27"/>
  <c r="O58" i="27"/>
  <c r="O58" i="31"/>
  <c r="O50" i="35"/>
  <c r="D94" i="29"/>
  <c r="C100" i="29" s="1"/>
  <c r="C101" i="29" s="1"/>
  <c r="C102" i="29" s="1"/>
  <c r="C103" i="29" s="1"/>
  <c r="C104" i="29" s="1"/>
  <c r="C105" i="29" s="1"/>
  <c r="C106" i="29" s="1"/>
  <c r="C107" i="29" s="1"/>
  <c r="C108" i="29" s="1"/>
  <c r="C109" i="29" s="1"/>
  <c r="C110" i="29" s="1"/>
  <c r="C111" i="29" s="1"/>
  <c r="C112" i="29" s="1"/>
  <c r="C113" i="29" s="1"/>
  <c r="C114" i="29" s="1"/>
  <c r="C115" i="29" s="1"/>
  <c r="C116" i="29" s="1"/>
  <c r="C117" i="29" s="1"/>
  <c r="C118" i="29" s="1"/>
  <c r="C119" i="29" s="1"/>
  <c r="C120" i="29" s="1"/>
  <c r="C121" i="29" s="1"/>
  <c r="C122" i="29" s="1"/>
  <c r="C123" i="29" s="1"/>
  <c r="C124" i="29" s="1"/>
  <c r="C125" i="29" s="1"/>
  <c r="C126" i="29" s="1"/>
  <c r="C127" i="29" s="1"/>
  <c r="O60" i="3"/>
  <c r="O59" i="31"/>
  <c r="F17" i="1"/>
  <c r="O55" i="26"/>
  <c r="O37" i="28"/>
  <c r="P154" i="3"/>
  <c r="P138" i="3"/>
  <c r="P136" i="3"/>
  <c r="P132" i="3"/>
  <c r="P130" i="3"/>
  <c r="O50" i="3"/>
  <c r="O70" i="4"/>
  <c r="O41" i="4"/>
  <c r="O37" i="4"/>
  <c r="O18" i="13"/>
  <c r="O71" i="18"/>
  <c r="O54" i="19"/>
  <c r="O52" i="19"/>
  <c r="O68" i="20"/>
  <c r="O66" i="20"/>
  <c r="O60" i="20"/>
  <c r="O54" i="20"/>
  <c r="O49" i="20"/>
  <c r="O68" i="22"/>
  <c r="O70" i="22"/>
  <c r="O72" i="22"/>
  <c r="O71" i="23"/>
  <c r="O73" i="23"/>
  <c r="O25" i="24"/>
  <c r="O22" i="25"/>
  <c r="O34" i="25"/>
  <c r="O42" i="25"/>
  <c r="O56" i="25"/>
  <c r="O58" i="25"/>
  <c r="O29" i="26"/>
  <c r="O25" i="27"/>
  <c r="O31" i="27"/>
  <c r="O35" i="27"/>
  <c r="O50" i="27"/>
  <c r="O35" i="28"/>
  <c r="O70" i="28"/>
  <c r="O72" i="28"/>
  <c r="O45" i="29"/>
  <c r="O47" i="29"/>
  <c r="O57" i="29"/>
  <c r="O61" i="29"/>
  <c r="O63" i="29"/>
  <c r="O22" i="31"/>
  <c r="O31" i="31"/>
  <c r="O38" i="31"/>
  <c r="O53" i="31"/>
  <c r="O32" i="21"/>
  <c r="O33" i="34"/>
  <c r="O66" i="34"/>
  <c r="O70" i="34"/>
  <c r="O22" i="35"/>
  <c r="O30" i="35"/>
  <c r="O73" i="34"/>
  <c r="O41" i="37"/>
  <c r="O46" i="38"/>
  <c r="O64" i="4"/>
  <c r="O61" i="13"/>
  <c r="O59" i="13"/>
  <c r="O57" i="19"/>
  <c r="O55" i="19"/>
  <c r="O53" i="19"/>
  <c r="O51" i="19"/>
  <c r="O49" i="19"/>
  <c r="O47" i="19"/>
  <c r="O45" i="19"/>
  <c r="O43" i="19"/>
  <c r="O39" i="19"/>
  <c r="O69" i="20"/>
  <c r="O42" i="20"/>
  <c r="O72" i="21"/>
  <c r="O57" i="21"/>
  <c r="O65" i="22"/>
  <c r="O71" i="26"/>
  <c r="O26" i="27"/>
  <c r="O24" i="28"/>
  <c r="O28" i="28"/>
  <c r="O36" i="29"/>
  <c r="O52" i="29"/>
  <c r="O71" i="29"/>
  <c r="O32" i="27"/>
  <c r="O32" i="28"/>
  <c r="O22" i="34"/>
  <c r="O32" i="34"/>
  <c r="O34" i="34"/>
  <c r="O72" i="35"/>
  <c r="P147" i="3"/>
  <c r="P123" i="3"/>
  <c r="P119" i="3"/>
  <c r="O73" i="3"/>
  <c r="O73" i="4"/>
  <c r="O71" i="4"/>
  <c r="O58" i="13"/>
  <c r="O48" i="13"/>
  <c r="O46" i="13"/>
  <c r="O44" i="13"/>
  <c r="O42" i="13"/>
  <c r="O39" i="13"/>
  <c r="O35" i="13"/>
  <c r="O33" i="13"/>
  <c r="O40" i="18"/>
  <c r="O38" i="18"/>
  <c r="O62" i="19"/>
  <c r="O60" i="19"/>
  <c r="O51" i="20"/>
  <c r="O34" i="20"/>
  <c r="O29" i="20"/>
  <c r="O25" i="20"/>
  <c r="O21" i="20"/>
  <c r="O19" i="20"/>
  <c r="O66" i="21"/>
  <c r="O56" i="21"/>
  <c r="O40" i="21"/>
  <c r="O38" i="21"/>
  <c r="O36" i="21"/>
  <c r="O34" i="21"/>
  <c r="O31" i="21"/>
  <c r="O25" i="21"/>
  <c r="O29" i="22"/>
  <c r="O31" i="22"/>
  <c r="O38" i="22"/>
  <c r="O40" i="22"/>
  <c r="O44" i="22"/>
  <c r="O46" i="22"/>
  <c r="O52" i="22"/>
  <c r="P121" i="22"/>
  <c r="P125" i="22"/>
  <c r="P129" i="22"/>
  <c r="O64" i="26"/>
  <c r="O59" i="27"/>
  <c r="O61" i="27"/>
  <c r="O54" i="28"/>
  <c r="O39" i="37"/>
  <c r="O63" i="37"/>
  <c r="I12" i="38"/>
  <c r="I13" i="38" s="1"/>
  <c r="I12" i="37"/>
  <c r="I13" i="37" s="1"/>
  <c r="I12" i="28"/>
  <c r="I13" i="28" s="1"/>
  <c r="I12" i="31"/>
  <c r="I13" i="31" s="1"/>
  <c r="I12" i="24"/>
  <c r="I12" i="3"/>
  <c r="I13" i="3" s="1"/>
  <c r="I12" i="27"/>
  <c r="I13" i="27" s="1"/>
  <c r="I12" i="22"/>
  <c r="I13" i="22" s="1"/>
  <c r="I12" i="35"/>
  <c r="I13" i="35" s="1"/>
  <c r="I12" i="25"/>
  <c r="I13" i="25" s="1"/>
  <c r="I12" i="4"/>
  <c r="I13" i="4" s="1"/>
  <c r="I12" i="23"/>
  <c r="I13" i="23" s="1"/>
  <c r="I12" i="34"/>
  <c r="I13" i="34" s="1"/>
  <c r="I12" i="29"/>
  <c r="I13" i="29" s="1"/>
  <c r="I12" i="18"/>
  <c r="I13" i="18" s="1"/>
  <c r="I12" i="19"/>
  <c r="I13" i="19" s="1"/>
  <c r="I12" i="13"/>
  <c r="A2" i="2"/>
  <c r="O66" i="18"/>
  <c r="O68" i="21"/>
  <c r="P153" i="3"/>
  <c r="P149" i="3"/>
  <c r="P145" i="3"/>
  <c r="P141" i="3"/>
  <c r="O68" i="3"/>
  <c r="O49" i="3"/>
  <c r="O63" i="4"/>
  <c r="O42" i="4"/>
  <c r="O30" i="4"/>
  <c r="P130" i="13"/>
  <c r="P128" i="13"/>
  <c r="P126" i="13"/>
  <c r="P122" i="13"/>
  <c r="P118" i="13"/>
  <c r="P114" i="13"/>
  <c r="P112" i="13"/>
  <c r="P110" i="13"/>
  <c r="P106" i="13"/>
  <c r="O31" i="13"/>
  <c r="O69" i="19"/>
  <c r="O65" i="19"/>
  <c r="O54" i="21"/>
  <c r="O34" i="23"/>
  <c r="O36" i="23"/>
  <c r="O35" i="26"/>
  <c r="O72" i="26"/>
  <c r="O44" i="27"/>
  <c r="O29" i="31"/>
  <c r="O55" i="4"/>
  <c r="O53" i="4"/>
  <c r="O51" i="4"/>
  <c r="O19" i="13"/>
  <c r="P149" i="19"/>
  <c r="P145" i="19"/>
  <c r="P141" i="19"/>
  <c r="O56" i="19"/>
  <c r="O48" i="19"/>
  <c r="O46" i="19"/>
  <c r="O44" i="19"/>
  <c r="O40" i="19"/>
  <c r="O38" i="19"/>
  <c r="O65" i="26"/>
  <c r="O64" i="31"/>
  <c r="O68" i="31"/>
  <c r="O54" i="3"/>
  <c r="O44" i="3"/>
  <c r="O66" i="4"/>
  <c r="O26" i="13"/>
  <c r="O24" i="13"/>
  <c r="O62" i="18"/>
  <c r="O60" i="18"/>
  <c r="O36" i="18"/>
  <c r="O64" i="19"/>
  <c r="P102" i="20"/>
  <c r="O73" i="20"/>
  <c r="O64" i="20"/>
  <c r="O62" i="20"/>
  <c r="O40" i="20"/>
  <c r="P135" i="21"/>
  <c r="P123" i="21"/>
  <c r="O63" i="21"/>
  <c r="O26" i="21"/>
  <c r="O33" i="22"/>
  <c r="O35" i="22"/>
  <c r="O51" i="22"/>
  <c r="O25" i="23"/>
  <c r="O31" i="23"/>
  <c r="O35" i="23"/>
  <c r="P137" i="3"/>
  <c r="P133" i="3"/>
  <c r="P129" i="3"/>
  <c r="P125" i="3"/>
  <c r="P121" i="3"/>
  <c r="P109" i="3"/>
  <c r="O70" i="3"/>
  <c r="O65" i="3"/>
  <c r="O58" i="3"/>
  <c r="O55" i="3"/>
  <c r="O48" i="3"/>
  <c r="O46" i="3"/>
  <c r="O56" i="4"/>
  <c r="O39" i="4"/>
  <c r="O71" i="13"/>
  <c r="O54" i="13"/>
  <c r="O37" i="13"/>
  <c r="O30" i="13"/>
  <c r="O28" i="13"/>
  <c r="O21" i="13"/>
  <c r="O65" i="18"/>
  <c r="O63" i="18"/>
  <c r="O59" i="18"/>
  <c r="O57" i="18"/>
  <c r="O53" i="18"/>
  <c r="O49" i="18"/>
  <c r="O47" i="18"/>
  <c r="O29" i="18"/>
  <c r="O70" i="19"/>
  <c r="O68" i="19"/>
  <c r="O66" i="19"/>
  <c r="O61" i="19"/>
  <c r="O59" i="19"/>
  <c r="O41" i="19"/>
  <c r="O26" i="19"/>
  <c r="P149" i="20"/>
  <c r="P145" i="20"/>
  <c r="P137" i="20"/>
  <c r="P129" i="20"/>
  <c r="P101" i="20"/>
  <c r="O61" i="20"/>
  <c r="O48" i="20"/>
  <c r="O23" i="20"/>
  <c r="P130" i="21"/>
  <c r="P126" i="21"/>
  <c r="P114" i="21"/>
  <c r="O64" i="21"/>
  <c r="O62" i="21"/>
  <c r="O60" i="21"/>
  <c r="O58" i="21"/>
  <c r="O30" i="22"/>
  <c r="O36" i="22"/>
  <c r="O42" i="22"/>
  <c r="O54" i="22"/>
  <c r="O56" i="22"/>
  <c r="O58" i="22"/>
  <c r="O60" i="22"/>
  <c r="O67" i="22"/>
  <c r="O26" i="23"/>
  <c r="O37" i="23"/>
  <c r="O41" i="25"/>
  <c r="O51" i="25"/>
  <c r="O73" i="25"/>
  <c r="O52" i="26"/>
  <c r="O38" i="29"/>
  <c r="O43" i="23"/>
  <c r="O45" i="23"/>
  <c r="O47" i="23"/>
  <c r="O51" i="23"/>
  <c r="O55" i="23"/>
  <c r="O57" i="23"/>
  <c r="O70" i="23"/>
  <c r="O46" i="24"/>
  <c r="O48" i="24"/>
  <c r="O52" i="24"/>
  <c r="O68" i="24"/>
  <c r="P116" i="24"/>
  <c r="P118" i="24"/>
  <c r="P122" i="24"/>
  <c r="P126" i="24"/>
  <c r="P130" i="24"/>
  <c r="O46" i="25"/>
  <c r="O48" i="25"/>
  <c r="O53" i="25"/>
  <c r="O55" i="25"/>
  <c r="O57" i="25"/>
  <c r="O62" i="25"/>
  <c r="O46" i="26"/>
  <c r="O50" i="26"/>
  <c r="O54" i="26"/>
  <c r="O57" i="26"/>
  <c r="O59" i="26"/>
  <c r="O63" i="26"/>
  <c r="P107" i="26"/>
  <c r="P121" i="26"/>
  <c r="P129" i="26"/>
  <c r="O57" i="27"/>
  <c r="O72" i="27"/>
  <c r="O43" i="28"/>
  <c r="O52" i="28"/>
  <c r="O56" i="28"/>
  <c r="O65" i="28"/>
  <c r="O67" i="28"/>
  <c r="O70" i="29"/>
  <c r="O21" i="31"/>
  <c r="O45" i="31"/>
  <c r="O66" i="31"/>
  <c r="O42" i="3"/>
  <c r="O36" i="3"/>
  <c r="O34" i="3"/>
  <c r="O32" i="22"/>
  <c r="O32" i="25"/>
  <c r="O56" i="34"/>
  <c r="O35" i="37"/>
  <c r="O37" i="37"/>
  <c r="O60" i="37"/>
  <c r="O39" i="38"/>
  <c r="O43" i="25"/>
  <c r="O72" i="25"/>
  <c r="O45" i="27"/>
  <c r="O63" i="27"/>
  <c r="O49" i="28"/>
  <c r="O72" i="31"/>
  <c r="O37" i="3"/>
  <c r="O33" i="23"/>
  <c r="O33" i="24"/>
  <c r="O33" i="27"/>
  <c r="O33" i="29"/>
  <c r="O43" i="34"/>
  <c r="O48" i="34"/>
  <c r="O67" i="34"/>
  <c r="O33" i="35"/>
  <c r="O41" i="35"/>
  <c r="O58" i="35"/>
  <c r="O60" i="35"/>
  <c r="P125" i="35"/>
  <c r="P129" i="35"/>
  <c r="O49" i="37"/>
  <c r="O57" i="37"/>
  <c r="O72" i="37"/>
  <c r="O17" i="38"/>
  <c r="O43" i="38"/>
  <c r="O49" i="38"/>
  <c r="O53" i="38"/>
  <c r="O61" i="38"/>
  <c r="O46" i="23"/>
  <c r="O48" i="23"/>
  <c r="O50" i="23"/>
  <c r="O56" i="23"/>
  <c r="P106" i="23"/>
  <c r="P110" i="23"/>
  <c r="O53" i="24"/>
  <c r="O57" i="24"/>
  <c r="O60" i="25"/>
  <c r="O42" i="26"/>
  <c r="O47" i="26"/>
  <c r="O49" i="26"/>
  <c r="O56" i="26"/>
  <c r="O60" i="26"/>
  <c r="O69" i="26"/>
  <c r="O29" i="27"/>
  <c r="O38" i="27"/>
  <c r="O51" i="27"/>
  <c r="O56" i="27"/>
  <c r="O64" i="27"/>
  <c r="O23" i="28"/>
  <c r="O29" i="28"/>
  <c r="O31" i="28"/>
  <c r="O55" i="28"/>
  <c r="O68" i="28"/>
  <c r="O21" i="29"/>
  <c r="O23" i="29"/>
  <c r="O39" i="29"/>
  <c r="O54" i="29"/>
  <c r="P121" i="29"/>
  <c r="O20" i="31"/>
  <c r="O67" i="31"/>
  <c r="P116" i="34"/>
  <c r="P120" i="34"/>
  <c r="O32" i="35"/>
  <c r="O38" i="37"/>
  <c r="O46" i="37"/>
  <c r="O35" i="38"/>
  <c r="B100" i="38"/>
  <c r="C101" i="38"/>
  <c r="C102" i="38" s="1"/>
  <c r="C103" i="38" s="1"/>
  <c r="C104" i="38" s="1"/>
  <c r="C105" i="38" s="1"/>
  <c r="C106" i="38" s="1"/>
  <c r="C107" i="38" s="1"/>
  <c r="C108" i="38" s="1"/>
  <c r="C109" i="38" s="1"/>
  <c r="C110" i="38" s="1"/>
  <c r="C111" i="38" s="1"/>
  <c r="C112" i="38" s="1"/>
  <c r="C113" i="38" s="1"/>
  <c r="C114" i="38" s="1"/>
  <c r="C115" i="38" s="1"/>
  <c r="C116" i="38" s="1"/>
  <c r="C117" i="38" s="1"/>
  <c r="C118" i="38" s="1"/>
  <c r="C119" i="38" s="1"/>
  <c r="C120" i="38" s="1"/>
  <c r="C121" i="38" s="1"/>
  <c r="C122" i="38" s="1"/>
  <c r="C123" i="38" s="1"/>
  <c r="C124" i="38" s="1"/>
  <c r="C125" i="38" s="1"/>
  <c r="C126" i="38" s="1"/>
  <c r="C127" i="38" s="1"/>
  <c r="C128" i="38" s="1"/>
  <c r="C129" i="38" s="1"/>
  <c r="C130" i="38" s="1"/>
  <c r="C131" i="38" s="1"/>
  <c r="C132" i="38" s="1"/>
  <c r="C133" i="38" s="1"/>
  <c r="C134" i="38" s="1"/>
  <c r="C135" i="38" s="1"/>
  <c r="C136" i="38" s="1"/>
  <c r="C137" i="38" s="1"/>
  <c r="C138" i="38" s="1"/>
  <c r="C139" i="38" s="1"/>
  <c r="C140" i="38" s="1"/>
  <c r="C141" i="38" s="1"/>
  <c r="C142" i="38" s="1"/>
  <c r="C143" i="38" s="1"/>
  <c r="C144" i="38" s="1"/>
  <c r="C145" i="38" s="1"/>
  <c r="C146" i="38" s="1"/>
  <c r="C147" i="38" s="1"/>
  <c r="C148" i="38" s="1"/>
  <c r="C149" i="38" s="1"/>
  <c r="C150" i="38" s="1"/>
  <c r="C151" i="38" s="1"/>
  <c r="C152" i="38" s="1"/>
  <c r="C153" i="38" s="1"/>
  <c r="C154" i="38" s="1"/>
  <c r="C155" i="38" s="1"/>
  <c r="B19" i="35"/>
  <c r="B21" i="25"/>
  <c r="B18" i="37"/>
  <c r="B23" i="27"/>
  <c r="B19" i="31"/>
  <c r="D94" i="22"/>
  <c r="C100" i="22" s="1"/>
  <c r="D95" i="22"/>
  <c r="P100" i="3"/>
  <c r="O17" i="28"/>
  <c r="P101" i="13"/>
  <c r="P120" i="19"/>
  <c r="P108" i="19"/>
  <c r="P103" i="20"/>
  <c r="P146" i="21"/>
  <c r="P142" i="21"/>
  <c r="P104" i="13"/>
  <c r="A9" i="17"/>
  <c r="P131" i="18"/>
  <c r="P127" i="18"/>
  <c r="P119" i="18"/>
  <c r="P115" i="18"/>
  <c r="P155" i="19"/>
  <c r="P151" i="19"/>
  <c r="P147" i="19"/>
  <c r="P143" i="19"/>
  <c r="P139" i="19"/>
  <c r="P135" i="19"/>
  <c r="P131" i="19"/>
  <c r="P115" i="19"/>
  <c r="P151" i="20"/>
  <c r="P115" i="20"/>
  <c r="P114" i="18"/>
  <c r="P110" i="18"/>
  <c r="P150" i="19"/>
  <c r="P146" i="19"/>
  <c r="P142" i="19"/>
  <c r="P130" i="19"/>
  <c r="P106" i="20"/>
  <c r="P133" i="21"/>
  <c r="P125" i="21"/>
  <c r="P146" i="4"/>
  <c r="P142" i="4"/>
  <c r="P138" i="4"/>
  <c r="P134" i="4"/>
  <c r="P126" i="4"/>
  <c r="P127" i="13"/>
  <c r="P119" i="13"/>
  <c r="P115" i="13"/>
  <c r="P111" i="13"/>
  <c r="P121" i="20"/>
  <c r="P113" i="20"/>
  <c r="P105" i="20"/>
  <c r="P132" i="21"/>
  <c r="P112" i="21"/>
  <c r="P101" i="19"/>
  <c r="P104" i="20"/>
  <c r="P151" i="21"/>
  <c r="P106" i="24"/>
  <c r="O43" i="29"/>
  <c r="O58" i="29"/>
  <c r="O54" i="31"/>
  <c r="O24" i="3"/>
  <c r="P105" i="18"/>
  <c r="O45" i="37"/>
  <c r="O24" i="18"/>
  <c r="P106" i="19"/>
  <c r="O22" i="27"/>
  <c r="P123" i="24"/>
  <c r="P104" i="19"/>
  <c r="P106" i="25"/>
  <c r="P110" i="25"/>
  <c r="P114" i="25"/>
  <c r="P122" i="25"/>
  <c r="P116" i="27"/>
  <c r="P124" i="27"/>
  <c r="P128" i="27"/>
  <c r="P103" i="19"/>
  <c r="O65" i="31"/>
  <c r="O31" i="34"/>
  <c r="O69" i="34"/>
  <c r="P106" i="3"/>
  <c r="O56" i="37"/>
  <c r="P104" i="27"/>
  <c r="O73" i="38"/>
  <c r="O21" i="28"/>
  <c r="O30" i="37"/>
  <c r="O47" i="37"/>
  <c r="P103" i="22"/>
  <c r="O22" i="24"/>
  <c r="O19" i="29"/>
  <c r="O31" i="38"/>
  <c r="P113" i="24"/>
  <c r="P121" i="24"/>
  <c r="P112" i="26"/>
  <c r="P120" i="26"/>
  <c r="P124" i="26"/>
  <c r="P121" i="27"/>
  <c r="P125" i="27"/>
  <c r="P129" i="27"/>
  <c r="O32" i="31"/>
  <c r="O17" i="34"/>
  <c r="P104" i="25"/>
  <c r="P116" i="25"/>
  <c r="P120" i="25"/>
  <c r="O21" i="21"/>
  <c r="O58" i="37"/>
  <c r="P107" i="3"/>
  <c r="O21" i="23"/>
  <c r="P104" i="24"/>
  <c r="P125" i="34"/>
  <c r="P102" i="38"/>
  <c r="P114" i="38"/>
  <c r="P130" i="38"/>
  <c r="P113" i="28"/>
  <c r="P117" i="28"/>
  <c r="P125" i="28"/>
  <c r="P110" i="29"/>
  <c r="P114" i="29"/>
  <c r="P130" i="29"/>
  <c r="P125" i="31"/>
  <c r="P129" i="31"/>
  <c r="P137" i="31"/>
  <c r="P145" i="31"/>
  <c r="P102" i="34"/>
  <c r="P110" i="34"/>
  <c r="P114" i="34"/>
  <c r="P126" i="34"/>
  <c r="P130" i="34"/>
  <c r="P103" i="37"/>
  <c r="P107" i="37"/>
  <c r="P111" i="37"/>
  <c r="P103" i="38"/>
  <c r="P119" i="38"/>
  <c r="P123" i="38"/>
  <c r="P127" i="38"/>
  <c r="P131" i="38"/>
  <c r="P110" i="28"/>
  <c r="P130" i="31"/>
  <c r="P134" i="31"/>
  <c r="P146" i="31"/>
  <c r="P128" i="37"/>
  <c r="P101" i="38"/>
  <c r="P147" i="31"/>
  <c r="P155" i="3"/>
  <c r="P143" i="3"/>
  <c r="P139" i="3"/>
  <c r="P135" i="3"/>
  <c r="P131" i="3"/>
  <c r="P154" i="20"/>
  <c r="P142" i="20"/>
  <c r="P138" i="20"/>
  <c r="P134" i="20"/>
  <c r="P130" i="20"/>
  <c r="P126" i="20"/>
  <c r="P122" i="20"/>
  <c r="P118" i="20"/>
  <c r="P114" i="20"/>
  <c r="P110" i="20"/>
  <c r="P122" i="21"/>
  <c r="P118" i="21"/>
  <c r="P106" i="21"/>
  <c r="P112" i="22"/>
  <c r="P116" i="23"/>
  <c r="P120" i="23"/>
  <c r="P124" i="23"/>
  <c r="P128" i="23"/>
  <c r="P111" i="25"/>
  <c r="P115" i="25"/>
  <c r="P111" i="26"/>
  <c r="P115" i="26"/>
  <c r="P119" i="26"/>
  <c r="P127" i="26"/>
  <c r="P131" i="26"/>
  <c r="P109" i="31"/>
  <c r="P113" i="31"/>
  <c r="P117" i="31"/>
  <c r="P121" i="31"/>
  <c r="P153" i="31"/>
  <c r="P103" i="34"/>
  <c r="P123" i="34"/>
  <c r="P104" i="35"/>
  <c r="P108" i="35"/>
  <c r="P112" i="35"/>
  <c r="P116" i="35"/>
  <c r="P120" i="35"/>
  <c r="P123" i="37"/>
  <c r="P131" i="37"/>
  <c r="P116" i="38"/>
  <c r="P130" i="18"/>
  <c r="P122" i="19"/>
  <c r="P114" i="19"/>
  <c r="P149" i="21"/>
  <c r="P129" i="23"/>
  <c r="P117" i="24"/>
  <c r="P125" i="24"/>
  <c r="P129" i="24"/>
  <c r="P126" i="31"/>
  <c r="P150" i="31"/>
  <c r="P154" i="31"/>
  <c r="P109" i="35"/>
  <c r="P113" i="35"/>
  <c r="P117" i="35"/>
  <c r="P150" i="3"/>
  <c r="P117" i="20"/>
  <c r="P152" i="21"/>
  <c r="P117" i="26"/>
  <c r="P106" i="27"/>
  <c r="P114" i="27"/>
  <c r="P118" i="27"/>
  <c r="P122" i="27"/>
  <c r="P126" i="27"/>
  <c r="P130" i="27"/>
  <c r="P107" i="28"/>
  <c r="P123" i="28"/>
  <c r="P127" i="28"/>
  <c r="P112" i="29"/>
  <c r="P116" i="29"/>
  <c r="P120" i="29"/>
  <c r="P124" i="29"/>
  <c r="P128" i="29"/>
  <c r="P103" i="31"/>
  <c r="P119" i="31"/>
  <c r="P117" i="37"/>
  <c r="P129" i="38"/>
  <c r="P141" i="18"/>
  <c r="P118" i="38"/>
  <c r="P122" i="38"/>
  <c r="P105" i="13"/>
  <c r="P132" i="18"/>
  <c r="P139" i="21"/>
  <c r="P128" i="21"/>
  <c r="P125" i="25"/>
  <c r="P116" i="28"/>
  <c r="P120" i="28"/>
  <c r="P128" i="3"/>
  <c r="P124" i="3"/>
  <c r="P120" i="3"/>
  <c r="P116" i="3"/>
  <c r="P155" i="4"/>
  <c r="P151" i="4"/>
  <c r="P147" i="4"/>
  <c r="P143" i="4"/>
  <c r="P139" i="4"/>
  <c r="P135" i="4"/>
  <c r="P131" i="4"/>
  <c r="P127" i="4"/>
  <c r="P123" i="4"/>
  <c r="P119" i="4"/>
  <c r="P115" i="4"/>
  <c r="P111" i="4"/>
  <c r="P147" i="20"/>
  <c r="P143" i="20"/>
  <c r="P127" i="21"/>
  <c r="P115" i="21"/>
  <c r="P106" i="26"/>
  <c r="P118" i="26"/>
  <c r="P126" i="29"/>
  <c r="P119" i="37"/>
  <c r="P116" i="4"/>
  <c r="P152" i="19"/>
  <c r="P148" i="19"/>
  <c r="P140" i="19"/>
  <c r="P136" i="19"/>
  <c r="P128" i="19"/>
  <c r="P116" i="19"/>
  <c r="P144" i="20"/>
  <c r="P106" i="22"/>
  <c r="P114" i="23"/>
  <c r="P122" i="23"/>
  <c r="P126" i="23"/>
  <c r="P130" i="23"/>
  <c r="P113" i="26"/>
  <c r="P125" i="26"/>
  <c r="P131" i="28"/>
  <c r="P111" i="31"/>
  <c r="P116" i="37"/>
  <c r="P120" i="37"/>
  <c r="P108" i="38"/>
  <c r="P112" i="38"/>
  <c r="P124" i="38"/>
  <c r="P128" i="18"/>
  <c r="P124" i="18"/>
  <c r="P120" i="18"/>
  <c r="P116" i="18"/>
  <c r="P108" i="18"/>
  <c r="P127" i="24"/>
  <c r="P143" i="31"/>
  <c r="P121" i="35"/>
  <c r="P124" i="13"/>
  <c r="P116" i="13"/>
  <c r="P108" i="13"/>
  <c r="P118" i="25"/>
  <c r="P112" i="27"/>
  <c r="P125" i="38"/>
  <c r="P150" i="4"/>
  <c r="P122" i="4"/>
  <c r="P131" i="13"/>
  <c r="P111" i="20"/>
  <c r="P107" i="20"/>
  <c r="P150" i="21"/>
  <c r="P119" i="21"/>
  <c r="P120" i="24"/>
  <c r="P124" i="24"/>
  <c r="P128" i="24"/>
  <c r="P120" i="27"/>
  <c r="P118" i="29"/>
  <c r="P122" i="29"/>
  <c r="P132" i="31"/>
  <c r="P136" i="31"/>
  <c r="P140" i="31"/>
  <c r="P109" i="34"/>
  <c r="P110" i="4"/>
  <c r="P126" i="19"/>
  <c r="P107" i="13"/>
  <c r="P134" i="21"/>
  <c r="P114" i="28"/>
  <c r="P148" i="31"/>
  <c r="P152" i="31"/>
  <c r="P142" i="3"/>
  <c r="P118" i="3"/>
  <c r="P149" i="4"/>
  <c r="P102" i="13"/>
  <c r="P153" i="18"/>
  <c r="P149" i="18"/>
  <c r="P129" i="18"/>
  <c r="P121" i="18"/>
  <c r="P117" i="18"/>
  <c r="P137" i="19"/>
  <c r="P133" i="19"/>
  <c r="P129" i="19"/>
  <c r="P125" i="19"/>
  <c r="P129" i="21"/>
  <c r="P117" i="21"/>
  <c r="P116" i="26"/>
  <c r="P119" i="28"/>
  <c r="P128" i="4"/>
  <c r="P121" i="19"/>
  <c r="P110" i="19"/>
  <c r="P154" i="21"/>
  <c r="P147" i="21"/>
  <c r="P143" i="21"/>
  <c r="P131" i="21"/>
  <c r="P113" i="21"/>
  <c r="P112" i="24"/>
  <c r="P123" i="26"/>
  <c r="P108" i="28"/>
  <c r="P130" i="28"/>
  <c r="P104" i="29"/>
  <c r="P102" i="31"/>
  <c r="P104" i="34"/>
  <c r="P108" i="34"/>
  <c r="P128" i="34"/>
  <c r="P113" i="37"/>
  <c r="P124" i="37"/>
  <c r="P114" i="31"/>
  <c r="P118" i="31"/>
  <c r="P151" i="31"/>
  <c r="P155" i="31"/>
  <c r="P126" i="35"/>
  <c r="P152" i="3"/>
  <c r="P148" i="3"/>
  <c r="P144" i="3"/>
  <c r="P140" i="3"/>
  <c r="P118" i="18"/>
  <c r="P114" i="22"/>
  <c r="P115" i="31"/>
  <c r="P144" i="31"/>
  <c r="P117" i="38"/>
  <c r="P140" i="20"/>
  <c r="P136" i="20"/>
  <c r="P132" i="20"/>
  <c r="P128" i="20"/>
  <c r="P109" i="20"/>
  <c r="P113" i="29"/>
  <c r="P117" i="29"/>
  <c r="P118" i="37"/>
  <c r="P154" i="19"/>
  <c r="P123" i="19"/>
  <c r="P119" i="19"/>
  <c r="P141" i="21"/>
  <c r="P128" i="26"/>
  <c r="P138" i="31"/>
  <c r="P141" i="31"/>
  <c r="P149" i="31"/>
  <c r="P118" i="34"/>
  <c r="P115" i="38"/>
  <c r="P126" i="38"/>
  <c r="P119" i="23"/>
  <c r="P115" i="37"/>
  <c r="P126" i="3"/>
  <c r="P122" i="3"/>
  <c r="P153" i="4"/>
  <c r="P145" i="4"/>
  <c r="P141" i="4"/>
  <c r="P137" i="4"/>
  <c r="P133" i="4"/>
  <c r="P125" i="4"/>
  <c r="P109" i="4"/>
  <c r="P151" i="18"/>
  <c r="P147" i="18"/>
  <c r="P143" i="18"/>
  <c r="P139" i="18"/>
  <c r="P135" i="18"/>
  <c r="P138" i="19"/>
  <c r="P118" i="19"/>
  <c r="P121" i="21"/>
  <c r="P128" i="22"/>
  <c r="P112" i="23"/>
  <c r="P105" i="26"/>
  <c r="P126" i="26"/>
  <c r="P111" i="28"/>
  <c r="P115" i="28"/>
  <c r="P111" i="34"/>
  <c r="P115" i="34"/>
  <c r="P127" i="34"/>
  <c r="P131" i="34"/>
  <c r="P124" i="35"/>
  <c r="P128" i="35"/>
  <c r="P117" i="19"/>
  <c r="P116" i="22"/>
  <c r="P120" i="22"/>
  <c r="P124" i="22"/>
  <c r="P117" i="27"/>
  <c r="P124" i="28"/>
  <c r="P108" i="37"/>
  <c r="P112" i="37"/>
  <c r="P107" i="38"/>
  <c r="P111" i="38"/>
  <c r="J96" i="38"/>
  <c r="F18" i="2"/>
  <c r="P121" i="28"/>
  <c r="P145" i="18"/>
  <c r="P137" i="18"/>
  <c r="P133" i="18"/>
  <c r="P113" i="22"/>
  <c r="P130" i="25"/>
  <c r="P127" i="19"/>
  <c r="P137" i="21"/>
  <c r="P111" i="27"/>
  <c r="P128" i="38"/>
  <c r="C22" i="2"/>
  <c r="C55" i="2"/>
  <c r="C39" i="2"/>
  <c r="C82" i="2"/>
  <c r="C79" i="2"/>
  <c r="C8" i="2"/>
  <c r="C10" i="2"/>
  <c r="C56" i="2"/>
  <c r="C73" i="2"/>
  <c r="C62" i="2"/>
  <c r="C61" i="2"/>
  <c r="C80" i="2"/>
  <c r="P111" i="29"/>
  <c r="P127" i="29"/>
  <c r="P142" i="31"/>
  <c r="F17" i="2"/>
  <c r="P107" i="24"/>
  <c r="P114" i="24"/>
  <c r="P100" i="13"/>
  <c r="P100" i="20"/>
  <c r="P155" i="21"/>
  <c r="P112" i="34"/>
  <c r="P105" i="22"/>
  <c r="P131" i="23"/>
  <c r="P134" i="3"/>
  <c r="P154" i="4"/>
  <c r="P118" i="4"/>
  <c r="P155" i="18"/>
  <c r="P152" i="20"/>
  <c r="P148" i="20"/>
  <c r="P110" i="3"/>
  <c r="P123" i="18"/>
  <c r="P122" i="22"/>
  <c r="P130" i="22"/>
  <c r="P117" i="3"/>
  <c r="P148" i="4"/>
  <c r="P136" i="4"/>
  <c r="P146" i="18"/>
  <c r="P126" i="18"/>
  <c r="P111" i="18"/>
  <c r="P150" i="20"/>
  <c r="P146" i="20"/>
  <c r="P115" i="22"/>
  <c r="D95" i="35"/>
  <c r="D94" i="35"/>
  <c r="P111" i="23"/>
  <c r="P107" i="22"/>
  <c r="P118" i="23"/>
  <c r="C20" i="17"/>
  <c r="C28" i="17"/>
  <c r="C18" i="17"/>
  <c r="C41" i="17"/>
  <c r="C19" i="17"/>
  <c r="C32" i="17"/>
  <c r="C24" i="17"/>
  <c r="C43" i="17"/>
  <c r="C27" i="17"/>
  <c r="C22" i="17"/>
  <c r="C40" i="17"/>
  <c r="C23" i="17"/>
  <c r="C33" i="17"/>
  <c r="F37" i="17"/>
  <c r="C21" i="17"/>
  <c r="C26" i="17"/>
  <c r="C38" i="17"/>
  <c r="C34" i="17"/>
  <c r="C39" i="17"/>
  <c r="C42" i="17"/>
  <c r="C31" i="17"/>
  <c r="C36" i="17"/>
  <c r="C37" i="17"/>
  <c r="C30" i="17"/>
  <c r="F42" i="17"/>
  <c r="C29" i="17"/>
  <c r="F43" i="17"/>
  <c r="C25" i="17"/>
  <c r="C35" i="17"/>
  <c r="F41" i="17"/>
  <c r="G37" i="17" l="1"/>
  <c r="G41" i="17"/>
  <c r="G42" i="17"/>
  <c r="G43" i="17"/>
  <c r="C128" i="34"/>
  <c r="C129" i="34" s="1"/>
  <c r="C130" i="34" s="1"/>
  <c r="C131" i="34" s="1"/>
  <c r="C132" i="34" s="1"/>
  <c r="C133" i="34" s="1"/>
  <c r="C134" i="34" s="1"/>
  <c r="C135" i="34" s="1"/>
  <c r="C136" i="34" s="1"/>
  <c r="C137" i="34" s="1"/>
  <c r="C138" i="34" s="1"/>
  <c r="C139" i="34" s="1"/>
  <c r="C140" i="34" s="1"/>
  <c r="C141" i="34" s="1"/>
  <c r="C142" i="34" s="1"/>
  <c r="C143" i="34" s="1"/>
  <c r="C144" i="34" s="1"/>
  <c r="C145" i="34" s="1"/>
  <c r="C146" i="34" s="1"/>
  <c r="C147" i="34" s="1"/>
  <c r="C148" i="34" s="1"/>
  <c r="C149" i="34" s="1"/>
  <c r="C150" i="34" s="1"/>
  <c r="C151" i="34" s="1"/>
  <c r="C152" i="34" s="1"/>
  <c r="C153" i="34" s="1"/>
  <c r="C154" i="34" s="1"/>
  <c r="C155" i="34" s="1"/>
  <c r="D30" i="42"/>
  <c r="E30" i="42" s="1"/>
  <c r="D113" i="42"/>
  <c r="G112" i="42"/>
  <c r="C128" i="23"/>
  <c r="C129" i="23" s="1"/>
  <c r="C130" i="23" s="1"/>
  <c r="C131" i="23" s="1"/>
  <c r="C132" i="23" s="1"/>
  <c r="C133" i="23" s="1"/>
  <c r="C134" i="23" s="1"/>
  <c r="C135" i="23" s="1"/>
  <c r="C136" i="23" s="1"/>
  <c r="C137" i="23" s="1"/>
  <c r="C138" i="23" s="1"/>
  <c r="C139" i="23" s="1"/>
  <c r="C140" i="23" s="1"/>
  <c r="C141" i="23" s="1"/>
  <c r="C142" i="23" s="1"/>
  <c r="C143" i="23" s="1"/>
  <c r="C144" i="23" s="1"/>
  <c r="C145" i="23" s="1"/>
  <c r="C146" i="23" s="1"/>
  <c r="C147" i="23" s="1"/>
  <c r="C148" i="23" s="1"/>
  <c r="C149" i="23" s="1"/>
  <c r="C150" i="23" s="1"/>
  <c r="C151" i="23" s="1"/>
  <c r="C152" i="23" s="1"/>
  <c r="C153" i="23" s="1"/>
  <c r="C154" i="23" s="1"/>
  <c r="C155" i="23" s="1"/>
  <c r="C128" i="4"/>
  <c r="C129" i="4" s="1"/>
  <c r="C130" i="4" s="1"/>
  <c r="C131" i="4" s="1"/>
  <c r="C132" i="4" s="1"/>
  <c r="C133" i="4" s="1"/>
  <c r="C134" i="4" s="1"/>
  <c r="C135" i="4" s="1"/>
  <c r="C136" i="4" s="1"/>
  <c r="C137" i="4" s="1"/>
  <c r="C138" i="4" s="1"/>
  <c r="C139" i="4" s="1"/>
  <c r="C140" i="4" s="1"/>
  <c r="C141" i="4" s="1"/>
  <c r="C142" i="4" s="1"/>
  <c r="C143" i="4" s="1"/>
  <c r="C144" i="4" s="1"/>
  <c r="C145" i="4" s="1"/>
  <c r="C146" i="4" s="1"/>
  <c r="C147" i="4" s="1"/>
  <c r="C148" i="4" s="1"/>
  <c r="C149" i="4" s="1"/>
  <c r="C150" i="4" s="1"/>
  <c r="C151" i="4" s="1"/>
  <c r="C152" i="4" s="1"/>
  <c r="C153" i="4" s="1"/>
  <c r="C154" i="4" s="1"/>
  <c r="C155" i="4" s="1"/>
  <c r="D100" i="20"/>
  <c r="B100" i="20" s="1"/>
  <c r="E18" i="13"/>
  <c r="F18" i="13" s="1"/>
  <c r="G18" i="13" s="1"/>
  <c r="C128" i="18"/>
  <c r="C129" i="18" s="1"/>
  <c r="C130" i="18" s="1"/>
  <c r="C131" i="18" s="1"/>
  <c r="C132" i="18" s="1"/>
  <c r="C133" i="18" s="1"/>
  <c r="C134" i="18" s="1"/>
  <c r="C135" i="18" s="1"/>
  <c r="C136" i="18" s="1"/>
  <c r="C137" i="18" s="1"/>
  <c r="C138" i="18" s="1"/>
  <c r="C139" i="18" s="1"/>
  <c r="C140" i="18" s="1"/>
  <c r="C141" i="18" s="1"/>
  <c r="C142" i="18" s="1"/>
  <c r="C143" i="18" s="1"/>
  <c r="C144" i="18" s="1"/>
  <c r="C145" i="18" s="1"/>
  <c r="C146" i="18" s="1"/>
  <c r="C147" i="18" s="1"/>
  <c r="C148" i="18" s="1"/>
  <c r="C149" i="18" s="1"/>
  <c r="C150" i="18" s="1"/>
  <c r="C151" i="18" s="1"/>
  <c r="C152" i="18" s="1"/>
  <c r="C153" i="18" s="1"/>
  <c r="C154" i="18" s="1"/>
  <c r="C155" i="18" s="1"/>
  <c r="F100" i="20"/>
  <c r="F89" i="1"/>
  <c r="D13" i="21" s="1"/>
  <c r="C33" i="21" s="1"/>
  <c r="C34" i="21" s="1"/>
  <c r="C35" i="21" s="1"/>
  <c r="C36" i="21" s="1"/>
  <c r="C37" i="21" s="1"/>
  <c r="C38" i="21" s="1"/>
  <c r="C39" i="21" s="1"/>
  <c r="C40" i="21" s="1"/>
  <c r="C41" i="21" s="1"/>
  <c r="C42" i="21" s="1"/>
  <c r="C43" i="21" s="1"/>
  <c r="C44" i="21" s="1"/>
  <c r="C45" i="21" s="1"/>
  <c r="I13" i="39"/>
  <c r="C128" i="20"/>
  <c r="C129" i="20" s="1"/>
  <c r="C130" i="20" s="1"/>
  <c r="C131" i="20" s="1"/>
  <c r="C132" i="20" s="1"/>
  <c r="C133" i="20" s="1"/>
  <c r="C134" i="20" s="1"/>
  <c r="C135" i="20" s="1"/>
  <c r="C136" i="20" s="1"/>
  <c r="C137" i="20" s="1"/>
  <c r="C138" i="20" s="1"/>
  <c r="C139" i="20" s="1"/>
  <c r="C140" i="20" s="1"/>
  <c r="C141" i="20" s="1"/>
  <c r="C142" i="20" s="1"/>
  <c r="C143" i="20" s="1"/>
  <c r="C144" i="20" s="1"/>
  <c r="C145" i="20" s="1"/>
  <c r="C146" i="20" s="1"/>
  <c r="C147" i="20" s="1"/>
  <c r="C148" i="20" s="1"/>
  <c r="C149" i="20" s="1"/>
  <c r="C150" i="20" s="1"/>
  <c r="C151" i="20" s="1"/>
  <c r="C152" i="20" s="1"/>
  <c r="C153" i="20" s="1"/>
  <c r="C154" i="20" s="1"/>
  <c r="C155" i="20" s="1"/>
  <c r="C101" i="22"/>
  <c r="C102" i="22" s="1"/>
  <c r="C103" i="22" s="1"/>
  <c r="C104" i="22" s="1"/>
  <c r="C105" i="22" s="1"/>
  <c r="C106" i="22" s="1"/>
  <c r="C107" i="22" s="1"/>
  <c r="C108" i="22" s="1"/>
  <c r="C109" i="22" s="1"/>
  <c r="C110" i="22" s="1"/>
  <c r="C111" i="22" s="1"/>
  <c r="C112" i="22" s="1"/>
  <c r="C113" i="22" s="1"/>
  <c r="C114" i="22" s="1"/>
  <c r="C115" i="22" s="1"/>
  <c r="C116" i="22" s="1"/>
  <c r="C117" i="22" s="1"/>
  <c r="C118" i="22" s="1"/>
  <c r="C119" i="22" s="1"/>
  <c r="C120" i="22" s="1"/>
  <c r="C121" i="22" s="1"/>
  <c r="C122" i="22" s="1"/>
  <c r="C123" i="22" s="1"/>
  <c r="C124" i="22" s="1"/>
  <c r="C125" i="22" s="1"/>
  <c r="C126" i="22" s="1"/>
  <c r="C127" i="22" s="1"/>
  <c r="C128" i="22" s="1"/>
  <c r="C129" i="22" s="1"/>
  <c r="C130" i="22" s="1"/>
  <c r="C131" i="22" s="1"/>
  <c r="C132" i="22" s="1"/>
  <c r="C133" i="22" s="1"/>
  <c r="C134" i="22" s="1"/>
  <c r="C135" i="22" s="1"/>
  <c r="C136" i="22" s="1"/>
  <c r="C137" i="22" s="1"/>
  <c r="C138" i="22" s="1"/>
  <c r="C139" i="22" s="1"/>
  <c r="C140" i="22" s="1"/>
  <c r="C141" i="22" s="1"/>
  <c r="C142" i="22" s="1"/>
  <c r="C143" i="22" s="1"/>
  <c r="C144" i="22" s="1"/>
  <c r="C145" i="22" s="1"/>
  <c r="C146" i="22" s="1"/>
  <c r="C147" i="22" s="1"/>
  <c r="C148" i="22" s="1"/>
  <c r="C149" i="22" s="1"/>
  <c r="C150" i="22" s="1"/>
  <c r="C151" i="22" s="1"/>
  <c r="C152" i="22" s="1"/>
  <c r="C153" i="22" s="1"/>
  <c r="C154" i="22" s="1"/>
  <c r="C155" i="22" s="1"/>
  <c r="C128" i="29"/>
  <c r="C129" i="29" s="1"/>
  <c r="C130" i="29" s="1"/>
  <c r="C131" i="29" s="1"/>
  <c r="C132" i="29" s="1"/>
  <c r="C133" i="29" s="1"/>
  <c r="C134" i="29" s="1"/>
  <c r="C135" i="29" s="1"/>
  <c r="C136" i="29" s="1"/>
  <c r="C137" i="29" s="1"/>
  <c r="C138" i="29" s="1"/>
  <c r="C139" i="29" s="1"/>
  <c r="C140" i="29" s="1"/>
  <c r="C141" i="29" s="1"/>
  <c r="C142" i="29" s="1"/>
  <c r="C143" i="29" s="1"/>
  <c r="C144" i="29" s="1"/>
  <c r="C145" i="29" s="1"/>
  <c r="C146" i="29" s="1"/>
  <c r="C147" i="29" s="1"/>
  <c r="C148" i="29" s="1"/>
  <c r="C149" i="29" s="1"/>
  <c r="C150" i="29" s="1"/>
  <c r="C151" i="29" s="1"/>
  <c r="C152" i="29" s="1"/>
  <c r="C153" i="29" s="1"/>
  <c r="C154" i="29" s="1"/>
  <c r="C155" i="29" s="1"/>
  <c r="C101" i="13"/>
  <c r="C102" i="13" s="1"/>
  <c r="C103" i="13" s="1"/>
  <c r="C104" i="13" s="1"/>
  <c r="C105" i="13" s="1"/>
  <c r="C106" i="13" s="1"/>
  <c r="C107" i="13" s="1"/>
  <c r="C108" i="13" s="1"/>
  <c r="C109" i="13" s="1"/>
  <c r="C110" i="13" s="1"/>
  <c r="C111" i="13" s="1"/>
  <c r="C112" i="13" s="1"/>
  <c r="C113" i="13" s="1"/>
  <c r="C114" i="13" s="1"/>
  <c r="C115" i="13" s="1"/>
  <c r="C116" i="13" s="1"/>
  <c r="C117" i="13" s="1"/>
  <c r="C118" i="13" s="1"/>
  <c r="C119" i="13" s="1"/>
  <c r="C120" i="13" s="1"/>
  <c r="C121" i="13" s="1"/>
  <c r="C122" i="13" s="1"/>
  <c r="C123" i="13" s="1"/>
  <c r="C124" i="13" s="1"/>
  <c r="C125" i="13" s="1"/>
  <c r="C126" i="13" s="1"/>
  <c r="C127" i="13" s="1"/>
  <c r="C128" i="13" s="1"/>
  <c r="C129" i="13" s="1"/>
  <c r="C130" i="13" s="1"/>
  <c r="C131" i="13" s="1"/>
  <c r="C132" i="13" s="1"/>
  <c r="C133" i="13" s="1"/>
  <c r="C134" i="13" s="1"/>
  <c r="C135" i="13" s="1"/>
  <c r="C136" i="13" s="1"/>
  <c r="C137" i="13" s="1"/>
  <c r="C138" i="13" s="1"/>
  <c r="C139" i="13" s="1"/>
  <c r="C140" i="13" s="1"/>
  <c r="C141" i="13" s="1"/>
  <c r="C142" i="13" s="1"/>
  <c r="C143" i="13" s="1"/>
  <c r="C144" i="13" s="1"/>
  <c r="C145" i="13" s="1"/>
  <c r="C146" i="13" s="1"/>
  <c r="C147" i="13" s="1"/>
  <c r="C148" i="13" s="1"/>
  <c r="C149" i="13" s="1"/>
  <c r="C150" i="13" s="1"/>
  <c r="C151" i="13" s="1"/>
  <c r="C152" i="13" s="1"/>
  <c r="C153" i="13" s="1"/>
  <c r="C154" i="13" s="1"/>
  <c r="C155" i="13" s="1"/>
  <c r="F100" i="13"/>
  <c r="G18" i="20"/>
  <c r="E19" i="20"/>
  <c r="F19" i="20" s="1"/>
  <c r="H18" i="20"/>
  <c r="F20" i="1"/>
  <c r="E25" i="1" s="1"/>
  <c r="E26" i="1" s="1"/>
  <c r="E30" i="1" s="1"/>
  <c r="I13" i="13"/>
  <c r="G17" i="13"/>
  <c r="I13" i="24"/>
  <c r="C128" i="25"/>
  <c r="C129" i="25" s="1"/>
  <c r="C130" i="25" s="1"/>
  <c r="C131" i="25" s="1"/>
  <c r="C132" i="25" s="1"/>
  <c r="C133" i="25" s="1"/>
  <c r="C134" i="25" s="1"/>
  <c r="C135" i="25" s="1"/>
  <c r="C136" i="25" s="1"/>
  <c r="C137" i="25" s="1"/>
  <c r="C138" i="25" s="1"/>
  <c r="C139" i="25" s="1"/>
  <c r="C140" i="25" s="1"/>
  <c r="C141" i="25" s="1"/>
  <c r="C142" i="25" s="1"/>
  <c r="C143" i="25" s="1"/>
  <c r="C144" i="25" s="1"/>
  <c r="C145" i="25" s="1"/>
  <c r="C146" i="25" s="1"/>
  <c r="C147" i="25" s="1"/>
  <c r="C148" i="25" s="1"/>
  <c r="C149" i="25" s="1"/>
  <c r="C150" i="25" s="1"/>
  <c r="C151" i="25" s="1"/>
  <c r="C152" i="25" s="1"/>
  <c r="C153" i="25" s="1"/>
  <c r="C154" i="25" s="1"/>
  <c r="C155" i="25" s="1"/>
  <c r="C100" i="35"/>
  <c r="C101" i="35" s="1"/>
  <c r="C102" i="35" s="1"/>
  <c r="C103" i="35" s="1"/>
  <c r="C104" i="35" s="1"/>
  <c r="C105" i="35" s="1"/>
  <c r="C106" i="35" s="1"/>
  <c r="C107" i="35" s="1"/>
  <c r="C108" i="35" s="1"/>
  <c r="C109" i="35" s="1"/>
  <c r="C110" i="35" s="1"/>
  <c r="C111" i="35" s="1"/>
  <c r="C112" i="35" s="1"/>
  <c r="C113" i="35" s="1"/>
  <c r="C114" i="35" s="1"/>
  <c r="C115" i="35" s="1"/>
  <c r="C116" i="35" s="1"/>
  <c r="C117" i="35" s="1"/>
  <c r="C118" i="35" s="1"/>
  <c r="C119" i="35" s="1"/>
  <c r="C120" i="35" s="1"/>
  <c r="C121" i="35" s="1"/>
  <c r="C122" i="35" s="1"/>
  <c r="C123" i="35" s="1"/>
  <c r="C124" i="35" s="1"/>
  <c r="C125" i="35" s="1"/>
  <c r="C126" i="35" s="1"/>
  <c r="C127" i="35" s="1"/>
  <c r="B113" i="42" l="1"/>
  <c r="E113" i="42"/>
  <c r="F113" i="42" s="1"/>
  <c r="F30" i="42"/>
  <c r="B30" i="42"/>
  <c r="G100" i="20"/>
  <c r="I100" i="20" s="1"/>
  <c r="D101" i="20"/>
  <c r="E101" i="20" s="1"/>
  <c r="D19" i="13"/>
  <c r="B19" i="13" s="1"/>
  <c r="D13" i="19"/>
  <c r="C33" i="19" s="1"/>
  <c r="C34" i="19" s="1"/>
  <c r="C35" i="19" s="1"/>
  <c r="C36" i="19" s="1"/>
  <c r="C37" i="19" s="1"/>
  <c r="C38" i="19" s="1"/>
  <c r="C39" i="19" s="1"/>
  <c r="C40" i="19" s="1"/>
  <c r="C41" i="19" s="1"/>
  <c r="C42" i="19" s="1"/>
  <c r="C43" i="19" s="1"/>
  <c r="C44" i="19" s="1"/>
  <c r="C45" i="19" s="1"/>
  <c r="C46" i="19" s="1"/>
  <c r="C47" i="19" s="1"/>
  <c r="C48" i="19" s="1"/>
  <c r="C49" i="19" s="1"/>
  <c r="C50" i="19" s="1"/>
  <c r="C51" i="19" s="1"/>
  <c r="C52" i="19" s="1"/>
  <c r="C53" i="19" s="1"/>
  <c r="C54" i="19" s="1"/>
  <c r="C55" i="19" s="1"/>
  <c r="C56" i="19" s="1"/>
  <c r="C57" i="19" s="1"/>
  <c r="C58" i="19" s="1"/>
  <c r="C59" i="19" s="1"/>
  <c r="C60" i="19" s="1"/>
  <c r="C61" i="19" s="1"/>
  <c r="C62" i="19" s="1"/>
  <c r="C63" i="19" s="1"/>
  <c r="C64" i="19" s="1"/>
  <c r="C65" i="19" s="1"/>
  <c r="C66" i="19" s="1"/>
  <c r="C67" i="19" s="1"/>
  <c r="C68" i="19" s="1"/>
  <c r="C69" i="19" s="1"/>
  <c r="C70" i="19" s="1"/>
  <c r="C71" i="19" s="1"/>
  <c r="C72" i="19" s="1"/>
  <c r="C73" i="19" s="1"/>
  <c r="D13" i="18"/>
  <c r="C33" i="18" s="1"/>
  <c r="C34" i="18" s="1"/>
  <c r="C35" i="18" s="1"/>
  <c r="C36" i="18" s="1"/>
  <c r="C37" i="18" s="1"/>
  <c r="C38" i="18" s="1"/>
  <c r="C39" i="18" s="1"/>
  <c r="C40" i="18" s="1"/>
  <c r="C41" i="18" s="1"/>
  <c r="C42" i="18" s="1"/>
  <c r="C43" i="18" s="1"/>
  <c r="C44" i="18" s="1"/>
  <c r="C45" i="18" s="1"/>
  <c r="C46" i="18" s="1"/>
  <c r="C47" i="18" s="1"/>
  <c r="C48" i="18" s="1"/>
  <c r="C49" i="18" s="1"/>
  <c r="C50" i="18" s="1"/>
  <c r="C51" i="18" s="1"/>
  <c r="C52" i="18" s="1"/>
  <c r="C53" i="18" s="1"/>
  <c r="C54" i="18" s="1"/>
  <c r="C55" i="18" s="1"/>
  <c r="C56" i="18" s="1"/>
  <c r="C57" i="18" s="1"/>
  <c r="C58" i="18" s="1"/>
  <c r="C59" i="18" s="1"/>
  <c r="C60" i="18" s="1"/>
  <c r="C61" i="18" s="1"/>
  <c r="C62" i="18" s="1"/>
  <c r="C63" i="18" s="1"/>
  <c r="C64" i="18" s="1"/>
  <c r="C65" i="18" s="1"/>
  <c r="C66" i="18" s="1"/>
  <c r="C67" i="18" s="1"/>
  <c r="C68" i="18" s="1"/>
  <c r="C69" i="18" s="1"/>
  <c r="C70" i="18" s="1"/>
  <c r="C71" i="18" s="1"/>
  <c r="C72" i="18" s="1"/>
  <c r="C73" i="18" s="1"/>
  <c r="D13" i="27"/>
  <c r="I14" i="27" s="1"/>
  <c r="D13" i="38"/>
  <c r="C73" i="38" s="1"/>
  <c r="D13" i="24"/>
  <c r="I14" i="24" s="1"/>
  <c r="D13" i="34"/>
  <c r="I14" i="34" s="1"/>
  <c r="D13" i="37"/>
  <c r="I14" i="37" s="1"/>
  <c r="D13" i="20"/>
  <c r="D13" i="35"/>
  <c r="C73" i="35" s="1"/>
  <c r="D13" i="25"/>
  <c r="I14" i="25" s="1"/>
  <c r="D13" i="23"/>
  <c r="C33" i="23" s="1"/>
  <c r="C34" i="23" s="1"/>
  <c r="C35" i="23" s="1"/>
  <c r="C36" i="23" s="1"/>
  <c r="C37" i="23" s="1"/>
  <c r="C38" i="23" s="1"/>
  <c r="C39" i="23" s="1"/>
  <c r="C40" i="23" s="1"/>
  <c r="C41" i="23" s="1"/>
  <c r="C42" i="23" s="1"/>
  <c r="C43" i="23" s="1"/>
  <c r="C44" i="23" s="1"/>
  <c r="C45" i="23" s="1"/>
  <c r="D13" i="28"/>
  <c r="I14" i="28" s="1"/>
  <c r="E23" i="28" s="1"/>
  <c r="D13" i="29"/>
  <c r="C33" i="29" s="1"/>
  <c r="C34" i="29" s="1"/>
  <c r="C35" i="29" s="1"/>
  <c r="C36" i="29" s="1"/>
  <c r="C37" i="29" s="1"/>
  <c r="C38" i="29" s="1"/>
  <c r="C39" i="29" s="1"/>
  <c r="C40" i="29" s="1"/>
  <c r="C41" i="29" s="1"/>
  <c r="C42" i="29" s="1"/>
  <c r="C43" i="29" s="1"/>
  <c r="C44" i="29" s="1"/>
  <c r="C45" i="29" s="1"/>
  <c r="N6" i="29" s="1"/>
  <c r="D13" i="39"/>
  <c r="D13" i="26"/>
  <c r="I14" i="21"/>
  <c r="D13" i="13"/>
  <c r="C73" i="13" s="1"/>
  <c r="D13" i="4"/>
  <c r="I14" i="4" s="1"/>
  <c r="D13" i="22"/>
  <c r="D13" i="31"/>
  <c r="D13" i="3"/>
  <c r="L100" i="38"/>
  <c r="M100" i="38" s="1"/>
  <c r="N100" i="38"/>
  <c r="O100" i="38" s="1"/>
  <c r="E32" i="1"/>
  <c r="E33" i="1" s="1"/>
  <c r="E35" i="1" s="1"/>
  <c r="F52" i="1" s="1"/>
  <c r="F51" i="1"/>
  <c r="G100" i="13"/>
  <c r="D101" i="13"/>
  <c r="I18" i="20"/>
  <c r="B20" i="20"/>
  <c r="H19" i="20"/>
  <c r="G19" i="20"/>
  <c r="E20" i="20"/>
  <c r="F20" i="20" s="1"/>
  <c r="H20" i="20" s="1"/>
  <c r="H17" i="13"/>
  <c r="I17" i="13" s="1"/>
  <c r="H18" i="13"/>
  <c r="C46" i="21"/>
  <c r="C47" i="21" s="1"/>
  <c r="C48" i="21" s="1"/>
  <c r="C49" i="21" s="1"/>
  <c r="C50" i="21" s="1"/>
  <c r="C51" i="21" s="1"/>
  <c r="C52" i="21" s="1"/>
  <c r="C53" i="21" s="1"/>
  <c r="C54" i="21" s="1"/>
  <c r="C55" i="21" s="1"/>
  <c r="C56" i="21" s="1"/>
  <c r="C57" i="21" s="1"/>
  <c r="C58" i="21" s="1"/>
  <c r="C59" i="21" s="1"/>
  <c r="C60" i="21" s="1"/>
  <c r="C61" i="21" s="1"/>
  <c r="C62" i="21" s="1"/>
  <c r="C63" i="21" s="1"/>
  <c r="C64" i="21" s="1"/>
  <c r="C65" i="21" s="1"/>
  <c r="C66" i="21" s="1"/>
  <c r="C67" i="21" s="1"/>
  <c r="C68" i="21" s="1"/>
  <c r="C69" i="21" s="1"/>
  <c r="C70" i="21" s="1"/>
  <c r="C71" i="21" s="1"/>
  <c r="C72" i="21" s="1"/>
  <c r="C73" i="21" s="1"/>
  <c r="N5" i="21"/>
  <c r="N6" i="21"/>
  <c r="C128" i="35"/>
  <c r="C129" i="35" s="1"/>
  <c r="C130" i="35" s="1"/>
  <c r="C131" i="35" s="1"/>
  <c r="C132" i="35" s="1"/>
  <c r="C133" i="35" s="1"/>
  <c r="C134" i="35" s="1"/>
  <c r="C135" i="35" s="1"/>
  <c r="C136" i="35" s="1"/>
  <c r="C137" i="35" s="1"/>
  <c r="C138" i="35" s="1"/>
  <c r="C139" i="35" s="1"/>
  <c r="C140" i="35" s="1"/>
  <c r="C141" i="35" s="1"/>
  <c r="C142" i="35" s="1"/>
  <c r="C143" i="35" s="1"/>
  <c r="C144" i="35" s="1"/>
  <c r="C145" i="35" s="1"/>
  <c r="C146" i="35" s="1"/>
  <c r="C147" i="35" s="1"/>
  <c r="C148" i="35" s="1"/>
  <c r="C149" i="35" s="1"/>
  <c r="C150" i="35" s="1"/>
  <c r="C151" i="35" s="1"/>
  <c r="C152" i="35" s="1"/>
  <c r="C153" i="35" s="1"/>
  <c r="C154" i="35" s="1"/>
  <c r="C155" i="35" s="1"/>
  <c r="H100" i="20" l="1"/>
  <c r="J100" i="20" s="1"/>
  <c r="D114" i="42"/>
  <c r="E114" i="42" s="1"/>
  <c r="G113" i="42"/>
  <c r="D31" i="42"/>
  <c r="E31" i="42" s="1"/>
  <c r="E19" i="13"/>
  <c r="F19" i="13" s="1"/>
  <c r="H19" i="13" s="1"/>
  <c r="B101" i="20"/>
  <c r="F101" i="20"/>
  <c r="G101" i="20" s="1"/>
  <c r="C33" i="24"/>
  <c r="C34" i="24" s="1"/>
  <c r="C35" i="24" s="1"/>
  <c r="C36" i="24" s="1"/>
  <c r="C37" i="24" s="1"/>
  <c r="C38" i="24" s="1"/>
  <c r="C39" i="24" s="1"/>
  <c r="C40" i="24" s="1"/>
  <c r="C41" i="24" s="1"/>
  <c r="C42" i="24" s="1"/>
  <c r="C43" i="24" s="1"/>
  <c r="C44" i="24" s="1"/>
  <c r="C45" i="24" s="1"/>
  <c r="N5" i="24" s="1"/>
  <c r="I14" i="23"/>
  <c r="I14" i="19"/>
  <c r="N5" i="29"/>
  <c r="N7" i="29" s="1"/>
  <c r="C46" i="29"/>
  <c r="C47" i="29" s="1"/>
  <c r="C48" i="29" s="1"/>
  <c r="C49" i="29" s="1"/>
  <c r="C50" i="29" s="1"/>
  <c r="C51" i="29" s="1"/>
  <c r="C52" i="29" s="1"/>
  <c r="C53" i="29" s="1"/>
  <c r="C54" i="29" s="1"/>
  <c r="C55" i="29" s="1"/>
  <c r="C56" i="29" s="1"/>
  <c r="C57" i="29" s="1"/>
  <c r="C58" i="29" s="1"/>
  <c r="C59" i="29" s="1"/>
  <c r="C60" i="29" s="1"/>
  <c r="C61" i="29" s="1"/>
  <c r="C62" i="29" s="1"/>
  <c r="C63" i="29" s="1"/>
  <c r="C64" i="29" s="1"/>
  <c r="C65" i="29" s="1"/>
  <c r="C66" i="29" s="1"/>
  <c r="C67" i="29" s="1"/>
  <c r="C68" i="29" s="1"/>
  <c r="C69" i="29" s="1"/>
  <c r="C70" i="29" s="1"/>
  <c r="C71" i="29" s="1"/>
  <c r="C72" i="29" s="1"/>
  <c r="C73" i="29" s="1"/>
  <c r="I14" i="18"/>
  <c r="I14" i="35"/>
  <c r="C73" i="34"/>
  <c r="C33" i="27"/>
  <c r="C34" i="27" s="1"/>
  <c r="C35" i="27" s="1"/>
  <c r="C36" i="27" s="1"/>
  <c r="C37" i="27" s="1"/>
  <c r="C38" i="27" s="1"/>
  <c r="C39" i="27" s="1"/>
  <c r="C40" i="27" s="1"/>
  <c r="C41" i="27" s="1"/>
  <c r="C42" i="27" s="1"/>
  <c r="C43" i="27" s="1"/>
  <c r="C44" i="27" s="1"/>
  <c r="C45" i="27" s="1"/>
  <c r="N5" i="27" s="1"/>
  <c r="C73" i="37"/>
  <c r="B21" i="20"/>
  <c r="P100" i="38"/>
  <c r="I14" i="38"/>
  <c r="C33" i="28"/>
  <c r="C34" i="28" s="1"/>
  <c r="C35" i="28" s="1"/>
  <c r="C36" i="28" s="1"/>
  <c r="C37" i="28" s="1"/>
  <c r="C38" i="28" s="1"/>
  <c r="C39" i="28" s="1"/>
  <c r="C40" i="28" s="1"/>
  <c r="C41" i="28" s="1"/>
  <c r="C42" i="28" s="1"/>
  <c r="C43" i="28" s="1"/>
  <c r="C44" i="28" s="1"/>
  <c r="C45" i="28" s="1"/>
  <c r="C46" i="28" s="1"/>
  <c r="C47" i="28" s="1"/>
  <c r="C48" i="28" s="1"/>
  <c r="C49" i="28" s="1"/>
  <c r="C50" i="28" s="1"/>
  <c r="C51" i="28" s="1"/>
  <c r="C52" i="28" s="1"/>
  <c r="C53" i="28" s="1"/>
  <c r="C54" i="28" s="1"/>
  <c r="C55" i="28" s="1"/>
  <c r="C56" i="28" s="1"/>
  <c r="C57" i="28" s="1"/>
  <c r="C58" i="28" s="1"/>
  <c r="C59" i="28" s="1"/>
  <c r="C60" i="28" s="1"/>
  <c r="C61" i="28" s="1"/>
  <c r="C62" i="28" s="1"/>
  <c r="C63" i="28" s="1"/>
  <c r="C64" i="28" s="1"/>
  <c r="C65" i="28" s="1"/>
  <c r="C66" i="28" s="1"/>
  <c r="C67" i="28" s="1"/>
  <c r="C68" i="28" s="1"/>
  <c r="C69" i="28" s="1"/>
  <c r="C70" i="28" s="1"/>
  <c r="C71" i="28" s="1"/>
  <c r="C72" i="28" s="1"/>
  <c r="C73" i="28" s="1"/>
  <c r="I14" i="29"/>
  <c r="C33" i="25"/>
  <c r="C34" i="25" s="1"/>
  <c r="C35" i="25" s="1"/>
  <c r="C36" i="25" s="1"/>
  <c r="C37" i="25" s="1"/>
  <c r="C38" i="25" s="1"/>
  <c r="C39" i="25" s="1"/>
  <c r="C40" i="25" s="1"/>
  <c r="C41" i="25" s="1"/>
  <c r="C33" i="4"/>
  <c r="C34" i="4" s="1"/>
  <c r="C35" i="4" s="1"/>
  <c r="C36" i="4" s="1"/>
  <c r="C37" i="4" s="1"/>
  <c r="C38" i="4" s="1"/>
  <c r="C39" i="4" s="1"/>
  <c r="C40" i="4" s="1"/>
  <c r="C41" i="4" s="1"/>
  <c r="C42" i="4" s="1"/>
  <c r="C43" i="4" s="1"/>
  <c r="C44" i="4" s="1"/>
  <c r="C45" i="4" s="1"/>
  <c r="C46" i="4" s="1"/>
  <c r="C47" i="4" s="1"/>
  <c r="C48" i="4" s="1"/>
  <c r="C49" i="4" s="1"/>
  <c r="C50" i="4" s="1"/>
  <c r="C51" i="4" s="1"/>
  <c r="C52" i="4" s="1"/>
  <c r="C53" i="4" s="1"/>
  <c r="C54" i="4" s="1"/>
  <c r="C55" i="4" s="1"/>
  <c r="C56" i="4" s="1"/>
  <c r="C57" i="4" s="1"/>
  <c r="C58" i="4" s="1"/>
  <c r="C59" i="4" s="1"/>
  <c r="C60" i="4" s="1"/>
  <c r="C61" i="4" s="1"/>
  <c r="C62" i="4" s="1"/>
  <c r="C63" i="4" s="1"/>
  <c r="C64" i="4" s="1"/>
  <c r="C65" i="4" s="1"/>
  <c r="C66" i="4" s="1"/>
  <c r="C67" i="4" s="1"/>
  <c r="C68" i="4" s="1"/>
  <c r="C69" i="4" s="1"/>
  <c r="C70" i="4" s="1"/>
  <c r="C71" i="4" s="1"/>
  <c r="C72" i="4" s="1"/>
  <c r="C73" i="4" s="1"/>
  <c r="I14" i="22"/>
  <c r="C33" i="22"/>
  <c r="C34" i="22" s="1"/>
  <c r="C35" i="22" s="1"/>
  <c r="C36" i="22" s="1"/>
  <c r="C37" i="22" s="1"/>
  <c r="C38" i="22" s="1"/>
  <c r="C39" i="22" s="1"/>
  <c r="C40" i="22" s="1"/>
  <c r="C41" i="22" s="1"/>
  <c r="C42" i="22" s="1"/>
  <c r="C43" i="22" s="1"/>
  <c r="C44" i="22" s="1"/>
  <c r="C45" i="22" s="1"/>
  <c r="I14" i="3"/>
  <c r="C33" i="3"/>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I14" i="26"/>
  <c r="C33" i="26"/>
  <c r="C34" i="26" s="1"/>
  <c r="C35" i="26" s="1"/>
  <c r="C36" i="26" s="1"/>
  <c r="C37" i="26" s="1"/>
  <c r="C38" i="26" s="1"/>
  <c r="C39" i="26" s="1"/>
  <c r="C40" i="26" s="1"/>
  <c r="C41" i="26" s="1"/>
  <c r="C42" i="26" s="1"/>
  <c r="C43" i="26" s="1"/>
  <c r="C44" i="26" s="1"/>
  <c r="C45" i="26" s="1"/>
  <c r="C46" i="26" s="1"/>
  <c r="C47" i="26" s="1"/>
  <c r="C48" i="26" s="1"/>
  <c r="C49" i="26" s="1"/>
  <c r="C50" i="26" s="1"/>
  <c r="C51" i="26" s="1"/>
  <c r="C52" i="26" s="1"/>
  <c r="C53" i="26" s="1"/>
  <c r="C54" i="26" s="1"/>
  <c r="C55" i="26" s="1"/>
  <c r="C56" i="26" s="1"/>
  <c r="C57" i="26" s="1"/>
  <c r="C58" i="26" s="1"/>
  <c r="C59" i="26" s="1"/>
  <c r="C60" i="26" s="1"/>
  <c r="C61" i="26" s="1"/>
  <c r="C62" i="26" s="1"/>
  <c r="C63" i="26" s="1"/>
  <c r="C64" i="26" s="1"/>
  <c r="C65" i="26" s="1"/>
  <c r="C66" i="26" s="1"/>
  <c r="C67" i="26" s="1"/>
  <c r="C68" i="26" s="1"/>
  <c r="C69" i="26" s="1"/>
  <c r="C70" i="26" s="1"/>
  <c r="C71" i="26" s="1"/>
  <c r="C72" i="26" s="1"/>
  <c r="C73" i="26" s="1"/>
  <c r="C33" i="31"/>
  <c r="C34" i="31" s="1"/>
  <c r="C35" i="31" s="1"/>
  <c r="C36" i="31" s="1"/>
  <c r="C37" i="31" s="1"/>
  <c r="C38" i="31" s="1"/>
  <c r="C39" i="31" s="1"/>
  <c r="C40" i="31" s="1"/>
  <c r="C41" i="31" s="1"/>
  <c r="C42" i="31" s="1"/>
  <c r="C43" i="31" s="1"/>
  <c r="C44" i="31" s="1"/>
  <c r="C45" i="31" s="1"/>
  <c r="I14" i="31"/>
  <c r="C73" i="39"/>
  <c r="J100" i="38"/>
  <c r="B101" i="38"/>
  <c r="B101" i="39"/>
  <c r="F53" i="1"/>
  <c r="F60" i="1" s="1"/>
  <c r="F63" i="1" s="1"/>
  <c r="F65" i="1" s="1"/>
  <c r="F67" i="1" s="1"/>
  <c r="J104" i="23"/>
  <c r="N6" i="23"/>
  <c r="N5" i="23"/>
  <c r="C46" i="23"/>
  <c r="C47" i="23" s="1"/>
  <c r="C48" i="23" s="1"/>
  <c r="C49" i="23" s="1"/>
  <c r="C50" i="23" s="1"/>
  <c r="C51" i="23" s="1"/>
  <c r="C52" i="23" s="1"/>
  <c r="C53" i="23" s="1"/>
  <c r="C54" i="23" s="1"/>
  <c r="C55" i="23" s="1"/>
  <c r="C56" i="23" s="1"/>
  <c r="C57" i="23" s="1"/>
  <c r="C58" i="23" s="1"/>
  <c r="C59" i="23" s="1"/>
  <c r="C60" i="23" s="1"/>
  <c r="C61" i="23" s="1"/>
  <c r="C62" i="23" s="1"/>
  <c r="C63" i="23" s="1"/>
  <c r="C64" i="23" s="1"/>
  <c r="C65" i="23" s="1"/>
  <c r="C66" i="23" s="1"/>
  <c r="C67" i="23" s="1"/>
  <c r="C68" i="23" s="1"/>
  <c r="C69" i="23" s="1"/>
  <c r="C70" i="23" s="1"/>
  <c r="C71" i="23" s="1"/>
  <c r="C72" i="23" s="1"/>
  <c r="C73" i="23" s="1"/>
  <c r="E101" i="13"/>
  <c r="F101" i="13" s="1"/>
  <c r="B101" i="13"/>
  <c r="H100" i="13"/>
  <c r="I100" i="13"/>
  <c r="I19" i="20"/>
  <c r="G20" i="20"/>
  <c r="I20" i="20" s="1"/>
  <c r="E21" i="20"/>
  <c r="F21" i="20" s="1"/>
  <c r="I18" i="13"/>
  <c r="B23" i="23"/>
  <c r="F23" i="28"/>
  <c r="E24" i="28" s="1"/>
  <c r="F24" i="28" s="1"/>
  <c r="N7" i="21"/>
  <c r="I22" i="23"/>
  <c r="B104" i="25"/>
  <c r="B108" i="19"/>
  <c r="B105" i="22"/>
  <c r="B109" i="3"/>
  <c r="F23" i="17"/>
  <c r="F31" i="17"/>
  <c r="C46" i="24" l="1"/>
  <c r="C47" i="24" s="1"/>
  <c r="C48" i="24" s="1"/>
  <c r="C49" i="24" s="1"/>
  <c r="C50" i="24" s="1"/>
  <c r="C51" i="24" s="1"/>
  <c r="C52" i="24" s="1"/>
  <c r="C53" i="24" s="1"/>
  <c r="C54" i="24" s="1"/>
  <c r="C55" i="24" s="1"/>
  <c r="C56" i="24" s="1"/>
  <c r="C57" i="24" s="1"/>
  <c r="C58" i="24" s="1"/>
  <c r="C59" i="24" s="1"/>
  <c r="C60" i="24" s="1"/>
  <c r="C61" i="24" s="1"/>
  <c r="C62" i="24" s="1"/>
  <c r="C63" i="24" s="1"/>
  <c r="C64" i="24" s="1"/>
  <c r="C65" i="24" s="1"/>
  <c r="C66" i="24" s="1"/>
  <c r="C67" i="24" s="1"/>
  <c r="C68" i="24" s="1"/>
  <c r="C69" i="24" s="1"/>
  <c r="C70" i="24" s="1"/>
  <c r="C71" i="24" s="1"/>
  <c r="C72" i="24" s="1"/>
  <c r="C73" i="24" s="1"/>
  <c r="D20" i="13"/>
  <c r="E20" i="13" s="1"/>
  <c r="F20" i="13" s="1"/>
  <c r="D21" i="13" s="1"/>
  <c r="E21" i="13" s="1"/>
  <c r="F21" i="13" s="1"/>
  <c r="G19" i="13"/>
  <c r="I19" i="13" s="1"/>
  <c r="N6" i="24"/>
  <c r="N7" i="24" s="1"/>
  <c r="F31" i="42"/>
  <c r="B31" i="42"/>
  <c r="F114" i="42"/>
  <c r="B114" i="42"/>
  <c r="C46" i="27"/>
  <c r="C47" i="27" s="1"/>
  <c r="C48" i="27" s="1"/>
  <c r="C49" i="27" s="1"/>
  <c r="C50" i="27" s="1"/>
  <c r="C51" i="27" s="1"/>
  <c r="C52" i="27" s="1"/>
  <c r="C53" i="27" s="1"/>
  <c r="C54" i="27" s="1"/>
  <c r="C55" i="27" s="1"/>
  <c r="C56" i="27" s="1"/>
  <c r="C57" i="27" s="1"/>
  <c r="C58" i="27" s="1"/>
  <c r="C59" i="27" s="1"/>
  <c r="C60" i="27" s="1"/>
  <c r="C61" i="27" s="1"/>
  <c r="C62" i="27" s="1"/>
  <c r="C63" i="27" s="1"/>
  <c r="C64" i="27" s="1"/>
  <c r="C65" i="27" s="1"/>
  <c r="C66" i="27" s="1"/>
  <c r="C67" i="27" s="1"/>
  <c r="C68" i="27" s="1"/>
  <c r="C69" i="27" s="1"/>
  <c r="C70" i="27" s="1"/>
  <c r="C71" i="27" s="1"/>
  <c r="C72" i="27" s="1"/>
  <c r="C73" i="27" s="1"/>
  <c r="D102" i="20"/>
  <c r="B102" i="20" s="1"/>
  <c r="N6" i="27"/>
  <c r="N7" i="27" s="1"/>
  <c r="H24" i="28"/>
  <c r="G24" i="28"/>
  <c r="E25" i="28"/>
  <c r="F25" i="28" s="1"/>
  <c r="N5" i="31"/>
  <c r="N6" i="31"/>
  <c r="C46" i="31"/>
  <c r="C47" i="31" s="1"/>
  <c r="C48" i="31" s="1"/>
  <c r="C49" i="31" s="1"/>
  <c r="C50" i="31" s="1"/>
  <c r="C51" i="31" s="1"/>
  <c r="C52" i="31" s="1"/>
  <c r="C53" i="31" s="1"/>
  <c r="C54" i="31" s="1"/>
  <c r="C55" i="31" s="1"/>
  <c r="C56" i="31" s="1"/>
  <c r="C57" i="31" s="1"/>
  <c r="C58" i="31" s="1"/>
  <c r="C59" i="31" s="1"/>
  <c r="C60" i="31" s="1"/>
  <c r="C61" i="31" s="1"/>
  <c r="C62" i="31" s="1"/>
  <c r="C63" i="31" s="1"/>
  <c r="C64" i="31" s="1"/>
  <c r="C65" i="31" s="1"/>
  <c r="C66" i="31" s="1"/>
  <c r="C67" i="31" s="1"/>
  <c r="C68" i="31" s="1"/>
  <c r="C69" i="31" s="1"/>
  <c r="C70" i="31" s="1"/>
  <c r="C71" i="31" s="1"/>
  <c r="C72" i="31" s="1"/>
  <c r="C73" i="31" s="1"/>
  <c r="N5" i="22"/>
  <c r="C46" i="22"/>
  <c r="C47" i="22" s="1"/>
  <c r="C48" i="22" s="1"/>
  <c r="C49" i="22" s="1"/>
  <c r="C50" i="22" s="1"/>
  <c r="C51" i="22" s="1"/>
  <c r="C52" i="22" s="1"/>
  <c r="C53" i="22" s="1"/>
  <c r="C54" i="22" s="1"/>
  <c r="C55" i="22" s="1"/>
  <c r="C56" i="22" s="1"/>
  <c r="C57" i="22" s="1"/>
  <c r="C58" i="22" s="1"/>
  <c r="C59" i="22" s="1"/>
  <c r="C60" i="22" s="1"/>
  <c r="C61" i="22" s="1"/>
  <c r="C62" i="22" s="1"/>
  <c r="C63" i="22" s="1"/>
  <c r="C64" i="22" s="1"/>
  <c r="C65" i="22" s="1"/>
  <c r="C66" i="22" s="1"/>
  <c r="C67" i="22" s="1"/>
  <c r="C68" i="22" s="1"/>
  <c r="C69" i="22" s="1"/>
  <c r="C70" i="22" s="1"/>
  <c r="C71" i="22" s="1"/>
  <c r="C72" i="22" s="1"/>
  <c r="C73" i="22" s="1"/>
  <c r="N6" i="22"/>
  <c r="F73" i="1"/>
  <c r="F74" i="1" s="1"/>
  <c r="L100" i="39"/>
  <c r="M100" i="39" s="1"/>
  <c r="N100" i="39"/>
  <c r="O100" i="39" s="1"/>
  <c r="J100" i="39"/>
  <c r="N20" i="37"/>
  <c r="O20" i="37" s="1"/>
  <c r="J105" i="23"/>
  <c r="N7" i="23"/>
  <c r="D102" i="13"/>
  <c r="G101" i="13"/>
  <c r="J100" i="13"/>
  <c r="I23" i="23"/>
  <c r="G23" i="17"/>
  <c r="G31" i="17"/>
  <c r="G23" i="28"/>
  <c r="H23" i="28"/>
  <c r="I26" i="3"/>
  <c r="B27" i="3"/>
  <c r="B22" i="20"/>
  <c r="G21" i="20"/>
  <c r="H21" i="20"/>
  <c r="E22" i="20"/>
  <c r="F68" i="1"/>
  <c r="F69" i="1" s="1"/>
  <c r="F54" i="1" s="1"/>
  <c r="F55" i="1" s="1"/>
  <c r="F57" i="1" s="1"/>
  <c r="F76" i="1" s="1"/>
  <c r="F77" i="1" s="1"/>
  <c r="F79" i="1" s="1"/>
  <c r="B108" i="18"/>
  <c r="B109" i="4"/>
  <c r="B101" i="37"/>
  <c r="L100" i="37"/>
  <c r="M100" i="37" s="1"/>
  <c r="N100" i="37"/>
  <c r="O100" i="37" s="1"/>
  <c r="B102" i="31"/>
  <c r="B102" i="35"/>
  <c r="B106" i="28"/>
  <c r="B105" i="26"/>
  <c r="I101" i="20"/>
  <c r="H101" i="20"/>
  <c r="B106" i="27"/>
  <c r="J107" i="19"/>
  <c r="B102" i="38"/>
  <c r="B106" i="21"/>
  <c r="B102" i="34"/>
  <c r="B106" i="24"/>
  <c r="J108" i="3"/>
  <c r="J104" i="22"/>
  <c r="F25" i="17"/>
  <c r="F27" i="17"/>
  <c r="F29" i="17"/>
  <c r="G20" i="13" l="1"/>
  <c r="B20" i="13"/>
  <c r="H20" i="13"/>
  <c r="B21" i="13"/>
  <c r="D115" i="42"/>
  <c r="E115" i="42" s="1"/>
  <c r="G114" i="42"/>
  <c r="D32" i="42"/>
  <c r="E102" i="20"/>
  <c r="F102" i="20" s="1"/>
  <c r="G102" i="20" s="1"/>
  <c r="I102" i="20" s="1"/>
  <c r="P100" i="39"/>
  <c r="G29" i="17"/>
  <c r="N7" i="31"/>
  <c r="H25" i="28"/>
  <c r="G25" i="28"/>
  <c r="E26" i="28"/>
  <c r="F26" i="28" s="1"/>
  <c r="N7" i="22"/>
  <c r="B102" i="39"/>
  <c r="P100" i="37"/>
  <c r="G25" i="17"/>
  <c r="G27" i="17"/>
  <c r="B24" i="24"/>
  <c r="I23" i="24"/>
  <c r="I101" i="13"/>
  <c r="H101" i="13"/>
  <c r="E102" i="13"/>
  <c r="F102" i="13" s="1"/>
  <c r="B102" i="13"/>
  <c r="H21" i="13"/>
  <c r="D22" i="13"/>
  <c r="E22" i="13" s="1"/>
  <c r="F22" i="13" s="1"/>
  <c r="G21" i="13"/>
  <c r="B20" i="35"/>
  <c r="B19" i="37"/>
  <c r="I25" i="19"/>
  <c r="B24" i="21"/>
  <c r="I19" i="31"/>
  <c r="I23" i="27"/>
  <c r="C42" i="25"/>
  <c r="C43" i="25" s="1"/>
  <c r="C44" i="25" s="1"/>
  <c r="C45" i="25" s="1"/>
  <c r="B22" i="25"/>
  <c r="I22" i="26"/>
  <c r="I22" i="22"/>
  <c r="B26" i="19"/>
  <c r="N5" i="19"/>
  <c r="F22" i="20"/>
  <c r="B18" i="38"/>
  <c r="B27" i="4"/>
  <c r="I23" i="28"/>
  <c r="B24" i="27"/>
  <c r="B26" i="18"/>
  <c r="N6" i="18"/>
  <c r="I23" i="21"/>
  <c r="B23" i="22"/>
  <c r="I21" i="20"/>
  <c r="I26" i="4"/>
  <c r="B23" i="26"/>
  <c r="B20" i="34"/>
  <c r="B24" i="23"/>
  <c r="I17" i="38"/>
  <c r="B24" i="28"/>
  <c r="I20" i="29"/>
  <c r="I19" i="34"/>
  <c r="I19" i="35"/>
  <c r="B20" i="31"/>
  <c r="I18" i="37"/>
  <c r="I21" i="25"/>
  <c r="I25" i="18"/>
  <c r="J108" i="4"/>
  <c r="J107" i="18"/>
  <c r="J101" i="35"/>
  <c r="J100" i="37"/>
  <c r="J103" i="25"/>
  <c r="J104" i="26"/>
  <c r="J105" i="28"/>
  <c r="B105" i="25"/>
  <c r="J105" i="27"/>
  <c r="J105" i="21"/>
  <c r="J102" i="29"/>
  <c r="J101" i="20"/>
  <c r="J105" i="24"/>
  <c r="J101" i="38"/>
  <c r="J101" i="34"/>
  <c r="B109" i="19"/>
  <c r="B110" i="3"/>
  <c r="B106" i="22"/>
  <c r="F32" i="17"/>
  <c r="F24" i="17"/>
  <c r="I20" i="13" l="1"/>
  <c r="B32" i="42"/>
  <c r="E32" i="42"/>
  <c r="F32" i="42" s="1"/>
  <c r="F115" i="42"/>
  <c r="B115" i="42"/>
  <c r="H102" i="20"/>
  <c r="J102" i="20" s="1"/>
  <c r="D103" i="20"/>
  <c r="E103" i="20" s="1"/>
  <c r="G32" i="17"/>
  <c r="H26" i="28"/>
  <c r="G26" i="28"/>
  <c r="E27" i="28"/>
  <c r="F27" i="28" s="1"/>
  <c r="J101" i="39"/>
  <c r="I18" i="39"/>
  <c r="G24" i="17"/>
  <c r="B19" i="39"/>
  <c r="K20" i="35"/>
  <c r="L20" i="35" s="1"/>
  <c r="N5" i="35"/>
  <c r="K20" i="34"/>
  <c r="L20" i="34" s="1"/>
  <c r="N5" i="34"/>
  <c r="K23" i="26"/>
  <c r="L23" i="26" s="1"/>
  <c r="N5" i="26"/>
  <c r="M27" i="4"/>
  <c r="N27" i="4" s="1"/>
  <c r="N6" i="4"/>
  <c r="M27" i="3"/>
  <c r="N27" i="3" s="1"/>
  <c r="N6" i="3"/>
  <c r="K27" i="3"/>
  <c r="L27" i="3" s="1"/>
  <c r="N5" i="3"/>
  <c r="I24" i="24"/>
  <c r="B22" i="13"/>
  <c r="I21" i="13"/>
  <c r="B25" i="24"/>
  <c r="J104" i="25"/>
  <c r="G102" i="13"/>
  <c r="D103" i="13"/>
  <c r="B103" i="13" s="1"/>
  <c r="J101" i="13"/>
  <c r="I23" i="22"/>
  <c r="I20" i="31"/>
  <c r="I24" i="21"/>
  <c r="I19" i="37"/>
  <c r="I24" i="23"/>
  <c r="D23" i="13"/>
  <c r="E23" i="13" s="1"/>
  <c r="G22" i="13"/>
  <c r="H22" i="13"/>
  <c r="I27" i="3"/>
  <c r="G22" i="20"/>
  <c r="H22" i="20"/>
  <c r="E23" i="20"/>
  <c r="B23" i="20"/>
  <c r="B28" i="3"/>
  <c r="I21" i="29"/>
  <c r="N24" i="27"/>
  <c r="O24" i="27" s="1"/>
  <c r="N5" i="25"/>
  <c r="C46" i="25"/>
  <c r="C47" i="25" s="1"/>
  <c r="C48" i="25" s="1"/>
  <c r="C49" i="25" s="1"/>
  <c r="C50" i="25" s="1"/>
  <c r="C51" i="25" s="1"/>
  <c r="C52" i="25" s="1"/>
  <c r="C53" i="25" s="1"/>
  <c r="C54" i="25" s="1"/>
  <c r="C55" i="25" s="1"/>
  <c r="C56" i="25" s="1"/>
  <c r="C57" i="25" s="1"/>
  <c r="C58" i="25" s="1"/>
  <c r="C59" i="25" s="1"/>
  <c r="C60" i="25" s="1"/>
  <c r="C61" i="25" s="1"/>
  <c r="C62" i="25" s="1"/>
  <c r="C63" i="25" s="1"/>
  <c r="C64" i="25" s="1"/>
  <c r="C65" i="25" s="1"/>
  <c r="C66" i="25" s="1"/>
  <c r="C67" i="25" s="1"/>
  <c r="C68" i="25" s="1"/>
  <c r="C69" i="25" s="1"/>
  <c r="C70" i="25" s="1"/>
  <c r="C71" i="25" s="1"/>
  <c r="C72" i="25" s="1"/>
  <c r="C73" i="25" s="1"/>
  <c r="N6" i="25"/>
  <c r="B110" i="4"/>
  <c r="B109" i="18"/>
  <c r="B103" i="35"/>
  <c r="B107" i="28"/>
  <c r="P101" i="37"/>
  <c r="B106" i="26"/>
  <c r="B102" i="37"/>
  <c r="B103" i="31"/>
  <c r="B103" i="34"/>
  <c r="B107" i="27"/>
  <c r="B103" i="38"/>
  <c r="B107" i="21"/>
  <c r="B107" i="24"/>
  <c r="J108" i="19"/>
  <c r="J105" i="22"/>
  <c r="J109" i="3"/>
  <c r="J106" i="23"/>
  <c r="F103" i="20" l="1"/>
  <c r="D104" i="20" s="1"/>
  <c r="B104" i="20" s="1"/>
  <c r="B103" i="20"/>
  <c r="D33" i="42"/>
  <c r="E33" i="42" s="1"/>
  <c r="D116" i="42"/>
  <c r="E116" i="42" s="1"/>
  <c r="G115" i="42"/>
  <c r="H27" i="28"/>
  <c r="G27" i="28"/>
  <c r="E28" i="28"/>
  <c r="F28" i="28" s="1"/>
  <c r="I19" i="39"/>
  <c r="I24" i="28"/>
  <c r="I20" i="35"/>
  <c r="M20" i="35"/>
  <c r="N20" i="35" s="1"/>
  <c r="O20" i="35" s="1"/>
  <c r="N6" i="35"/>
  <c r="N7" i="35" s="1"/>
  <c r="I20" i="34"/>
  <c r="M20" i="34"/>
  <c r="N20" i="34" s="1"/>
  <c r="O20" i="34" s="1"/>
  <c r="N6" i="34"/>
  <c r="N7" i="34" s="1"/>
  <c r="M23" i="26"/>
  <c r="N23" i="26" s="1"/>
  <c r="O23" i="26" s="1"/>
  <c r="N6" i="26"/>
  <c r="N7" i="26" s="1"/>
  <c r="I26" i="19"/>
  <c r="N6" i="19"/>
  <c r="N7" i="19" s="1"/>
  <c r="I26" i="18"/>
  <c r="N5" i="18"/>
  <c r="N7" i="18" s="1"/>
  <c r="I27" i="4"/>
  <c r="K27" i="4"/>
  <c r="L27" i="4" s="1"/>
  <c r="O27" i="4" s="1"/>
  <c r="N5" i="4"/>
  <c r="N7" i="4" s="1"/>
  <c r="N7" i="3"/>
  <c r="O27" i="3"/>
  <c r="I18" i="38"/>
  <c r="E103" i="13"/>
  <c r="F103" i="13" s="1"/>
  <c r="D104" i="13" s="1"/>
  <c r="I25" i="24"/>
  <c r="J101" i="37"/>
  <c r="H102" i="13"/>
  <c r="I102" i="13"/>
  <c r="N7" i="25"/>
  <c r="I23" i="26"/>
  <c r="B21" i="34"/>
  <c r="B20" i="37"/>
  <c r="B27" i="18"/>
  <c r="J108" i="18"/>
  <c r="B27" i="19"/>
  <c r="F23" i="20"/>
  <c r="B24" i="26"/>
  <c r="J109" i="4"/>
  <c r="B25" i="21"/>
  <c r="I22" i="20"/>
  <c r="I22" i="13"/>
  <c r="B24" i="22"/>
  <c r="B28" i="4"/>
  <c r="B25" i="23"/>
  <c r="I24" i="27"/>
  <c r="B19" i="38"/>
  <c r="N6" i="38"/>
  <c r="I22" i="25"/>
  <c r="B23" i="25"/>
  <c r="B25" i="27"/>
  <c r="B21" i="31"/>
  <c r="F23" i="13"/>
  <c r="H23" i="13" s="1"/>
  <c r="B23" i="13"/>
  <c r="B25" i="28"/>
  <c r="B21" i="35"/>
  <c r="J102" i="31"/>
  <c r="J105" i="26"/>
  <c r="B106" i="25"/>
  <c r="J106" i="28"/>
  <c r="J102" i="35"/>
  <c r="J102" i="38"/>
  <c r="J106" i="27"/>
  <c r="J106" i="24"/>
  <c r="J102" i="34"/>
  <c r="B110" i="19"/>
  <c r="J106" i="21"/>
  <c r="J103" i="29"/>
  <c r="B111" i="3"/>
  <c r="B107" i="22"/>
  <c r="F21" i="17"/>
  <c r="F19" i="17"/>
  <c r="F34" i="17"/>
  <c r="F28" i="17"/>
  <c r="F18" i="17"/>
  <c r="F20" i="17"/>
  <c r="F26" i="17"/>
  <c r="F33" i="17"/>
  <c r="G103" i="20" l="1"/>
  <c r="H103" i="20" s="1"/>
  <c r="E104" i="20"/>
  <c r="F104" i="20" s="1"/>
  <c r="D105" i="20" s="1"/>
  <c r="J102" i="39"/>
  <c r="F116" i="42"/>
  <c r="B116" i="42"/>
  <c r="B33" i="42"/>
  <c r="F33" i="42"/>
  <c r="H28" i="28"/>
  <c r="G28" i="28"/>
  <c r="E29" i="28"/>
  <c r="F29" i="28" s="1"/>
  <c r="B20" i="39"/>
  <c r="G34" i="17"/>
  <c r="I25" i="28"/>
  <c r="G33" i="17"/>
  <c r="G28" i="17"/>
  <c r="G21" i="17"/>
  <c r="G20" i="17"/>
  <c r="G19" i="17"/>
  <c r="G18" i="17"/>
  <c r="G103" i="13"/>
  <c r="I103" i="13" s="1"/>
  <c r="I21" i="34"/>
  <c r="B26" i="24"/>
  <c r="B104" i="13"/>
  <c r="J102" i="13"/>
  <c r="E104" i="13"/>
  <c r="F104" i="13" s="1"/>
  <c r="I23" i="25"/>
  <c r="G26" i="17"/>
  <c r="I21" i="35"/>
  <c r="I28" i="4"/>
  <c r="I24" i="22"/>
  <c r="I22" i="29"/>
  <c r="I21" i="31"/>
  <c r="I25" i="23"/>
  <c r="I24" i="26"/>
  <c r="I25" i="27"/>
  <c r="H23" i="20"/>
  <c r="G23" i="20"/>
  <c r="E24" i="20"/>
  <c r="B24" i="20"/>
  <c r="G23" i="13"/>
  <c r="B29" i="3"/>
  <c r="D24" i="13"/>
  <c r="E24" i="13" s="1"/>
  <c r="I28" i="3"/>
  <c r="B111" i="4"/>
  <c r="B110" i="18"/>
  <c r="B108" i="28"/>
  <c r="B104" i="31"/>
  <c r="B107" i="26"/>
  <c r="B104" i="35"/>
  <c r="B103" i="37"/>
  <c r="J105" i="25"/>
  <c r="B104" i="34"/>
  <c r="B108" i="27"/>
  <c r="B108" i="24"/>
  <c r="J109" i="19"/>
  <c r="B104" i="38"/>
  <c r="J104" i="29"/>
  <c r="B108" i="21"/>
  <c r="J106" i="22"/>
  <c r="J110" i="3"/>
  <c r="J107" i="23"/>
  <c r="I23" i="13" l="1"/>
  <c r="G104" i="20"/>
  <c r="H104" i="20" s="1"/>
  <c r="I103" i="20"/>
  <c r="J103" i="20" s="1"/>
  <c r="D34" i="42"/>
  <c r="E34" i="42" s="1"/>
  <c r="D117" i="42"/>
  <c r="G116" i="42"/>
  <c r="J108" i="23"/>
  <c r="I20" i="39"/>
  <c r="H29" i="28"/>
  <c r="N6" i="28" s="1"/>
  <c r="G29" i="28"/>
  <c r="N5" i="28" s="1"/>
  <c r="E30" i="28"/>
  <c r="F30" i="28" s="1"/>
  <c r="H103" i="13"/>
  <c r="J103" i="13" s="1"/>
  <c r="I19" i="38"/>
  <c r="N5" i="38"/>
  <c r="N7" i="38" s="1"/>
  <c r="I26" i="24"/>
  <c r="G104" i="13"/>
  <c r="D105" i="13"/>
  <c r="B22" i="31"/>
  <c r="I27" i="18"/>
  <c r="B28" i="18"/>
  <c r="F24" i="20"/>
  <c r="B26" i="27"/>
  <c r="B26" i="28"/>
  <c r="B25" i="26"/>
  <c r="B28" i="19"/>
  <c r="I23" i="20"/>
  <c r="B22" i="34"/>
  <c r="I20" i="37"/>
  <c r="B24" i="25"/>
  <c r="B26" i="21"/>
  <c r="B26" i="23"/>
  <c r="B20" i="38"/>
  <c r="I27" i="19"/>
  <c r="F24" i="13"/>
  <c r="H24" i="13" s="1"/>
  <c r="N6" i="13" s="1"/>
  <c r="B24" i="13"/>
  <c r="B29" i="4"/>
  <c r="I25" i="21"/>
  <c r="B21" i="37"/>
  <c r="B25" i="22"/>
  <c r="B22" i="35"/>
  <c r="J107" i="28"/>
  <c r="J110" i="4"/>
  <c r="J109" i="18"/>
  <c r="J102" i="37"/>
  <c r="J103" i="31"/>
  <c r="J106" i="26"/>
  <c r="J103" i="35"/>
  <c r="B107" i="25"/>
  <c r="J107" i="27"/>
  <c r="J103" i="34"/>
  <c r="J103" i="38"/>
  <c r="B111" i="19"/>
  <c r="J107" i="24"/>
  <c r="J107" i="21"/>
  <c r="B108" i="22"/>
  <c r="B112" i="3"/>
  <c r="B105" i="20"/>
  <c r="E105" i="20"/>
  <c r="F105" i="20" s="1"/>
  <c r="F36" i="17"/>
  <c r="N7" i="28" l="1"/>
  <c r="G36" i="17"/>
  <c r="I104" i="20"/>
  <c r="J104" i="20" s="1"/>
  <c r="B117" i="42"/>
  <c r="E117" i="42"/>
  <c r="F117" i="42" s="1"/>
  <c r="F34" i="42"/>
  <c r="B34" i="42"/>
  <c r="H30" i="28"/>
  <c r="G30" i="28"/>
  <c r="E31" i="28"/>
  <c r="F31" i="28" s="1"/>
  <c r="B27" i="24"/>
  <c r="J106" i="25"/>
  <c r="E105" i="13"/>
  <c r="F105" i="13" s="1"/>
  <c r="B105" i="13"/>
  <c r="I104" i="13"/>
  <c r="H104" i="13"/>
  <c r="I25" i="22"/>
  <c r="I22" i="35"/>
  <c r="I22" i="31"/>
  <c r="I26" i="23"/>
  <c r="I26" i="21"/>
  <c r="G24" i="13"/>
  <c r="I23" i="29"/>
  <c r="I26" i="27"/>
  <c r="I29" i="3"/>
  <c r="H24" i="20"/>
  <c r="B25" i="20"/>
  <c r="E25" i="20"/>
  <c r="F25" i="20" s="1"/>
  <c r="G24" i="20"/>
  <c r="D25" i="13"/>
  <c r="B30" i="3"/>
  <c r="B112" i="4"/>
  <c r="B111" i="18"/>
  <c r="B108" i="26"/>
  <c r="B109" i="28"/>
  <c r="B104" i="37"/>
  <c r="B105" i="35"/>
  <c r="B105" i="31"/>
  <c r="B109" i="24"/>
  <c r="B105" i="38"/>
  <c r="J110" i="19"/>
  <c r="B109" i="27"/>
  <c r="B109" i="21"/>
  <c r="J105" i="29"/>
  <c r="B105" i="34"/>
  <c r="G105" i="20"/>
  <c r="D106" i="20"/>
  <c r="E106" i="20" s="1"/>
  <c r="J107" i="22"/>
  <c r="J111" i="3"/>
  <c r="F30" i="17"/>
  <c r="I24" i="13" l="1"/>
  <c r="N5" i="13"/>
  <c r="N7" i="13" s="1"/>
  <c r="G30" i="17"/>
  <c r="D118" i="42"/>
  <c r="E118" i="42" s="1"/>
  <c r="G117" i="42"/>
  <c r="D35" i="42"/>
  <c r="E35" i="42" s="1"/>
  <c r="D111" i="23"/>
  <c r="H31" i="28"/>
  <c r="G31" i="28"/>
  <c r="E32" i="28"/>
  <c r="F32" i="28" s="1"/>
  <c r="I27" i="24"/>
  <c r="I30" i="3"/>
  <c r="J106" i="29"/>
  <c r="J104" i="31"/>
  <c r="J104" i="13"/>
  <c r="D106" i="13"/>
  <c r="G105" i="13"/>
  <c r="J110" i="18"/>
  <c r="B30" i="4"/>
  <c r="J111" i="4"/>
  <c r="I22" i="34"/>
  <c r="B21" i="38"/>
  <c r="B23" i="34"/>
  <c r="I24" i="25"/>
  <c r="I29" i="4"/>
  <c r="B25" i="13"/>
  <c r="B27" i="27"/>
  <c r="B27" i="21"/>
  <c r="E25" i="13"/>
  <c r="F25" i="13" s="1"/>
  <c r="B29" i="18"/>
  <c r="I26" i="28"/>
  <c r="I28" i="19"/>
  <c r="B23" i="31"/>
  <c r="I20" i="38"/>
  <c r="B23" i="35"/>
  <c r="B27" i="28"/>
  <c r="B27" i="23"/>
  <c r="B26" i="22"/>
  <c r="G25" i="20"/>
  <c r="B26" i="20"/>
  <c r="H25" i="20"/>
  <c r="E26" i="20"/>
  <c r="F26" i="20" s="1"/>
  <c r="B22" i="37"/>
  <c r="I25" i="26"/>
  <c r="B26" i="26"/>
  <c r="I28" i="18"/>
  <c r="B25" i="25"/>
  <c r="B29" i="19"/>
  <c r="I24" i="20"/>
  <c r="I21" i="37"/>
  <c r="J108" i="28"/>
  <c r="J104" i="35"/>
  <c r="J103" i="37"/>
  <c r="J107" i="26"/>
  <c r="B108" i="25"/>
  <c r="J108" i="27"/>
  <c r="B112" i="19"/>
  <c r="J108" i="21"/>
  <c r="J104" i="34"/>
  <c r="J104" i="38"/>
  <c r="J108" i="24"/>
  <c r="B109" i="22"/>
  <c r="B113" i="3"/>
  <c r="F106" i="20"/>
  <c r="B106" i="20"/>
  <c r="I105" i="20"/>
  <c r="H105" i="20"/>
  <c r="J109" i="23" l="1"/>
  <c r="F35" i="42"/>
  <c r="B35" i="42"/>
  <c r="F118" i="42"/>
  <c r="B118" i="42"/>
  <c r="H32" i="28"/>
  <c r="G32" i="28"/>
  <c r="E33" i="28"/>
  <c r="F33" i="28" s="1"/>
  <c r="B28" i="24"/>
  <c r="J107" i="25"/>
  <c r="I105" i="13"/>
  <c r="H105" i="13"/>
  <c r="E106" i="13"/>
  <c r="F106" i="13" s="1"/>
  <c r="B106" i="13"/>
  <c r="I22" i="37"/>
  <c r="I23" i="31"/>
  <c r="I21" i="38"/>
  <c r="I27" i="23"/>
  <c r="I23" i="35"/>
  <c r="I29" i="19"/>
  <c r="I25" i="20"/>
  <c r="B31" i="3"/>
  <c r="I27" i="27"/>
  <c r="I30" i="4"/>
  <c r="D26" i="13"/>
  <c r="E26" i="13" s="1"/>
  <c r="E27" i="20"/>
  <c r="F27" i="20" s="1"/>
  <c r="H26" i="20"/>
  <c r="G26" i="20"/>
  <c r="B27" i="20"/>
  <c r="I26" i="22"/>
  <c r="H25" i="13"/>
  <c r="G25" i="13"/>
  <c r="I23" i="34"/>
  <c r="B113" i="4"/>
  <c r="B112" i="18"/>
  <c r="B106" i="35"/>
  <c r="B106" i="31"/>
  <c r="B109" i="26"/>
  <c r="B110" i="28"/>
  <c r="B105" i="37"/>
  <c r="B110" i="27"/>
  <c r="J111" i="19"/>
  <c r="B106" i="38"/>
  <c r="B110" i="24"/>
  <c r="B110" i="21"/>
  <c r="B106" i="34"/>
  <c r="J112" i="3"/>
  <c r="J108" i="22"/>
  <c r="G106" i="20"/>
  <c r="D107" i="20"/>
  <c r="E107" i="20" s="1"/>
  <c r="J105" i="20"/>
  <c r="J110" i="23" l="1"/>
  <c r="D119" i="42"/>
  <c r="E119" i="42" s="1"/>
  <c r="G118" i="42"/>
  <c r="D36" i="42"/>
  <c r="H33" i="28"/>
  <c r="G33" i="28"/>
  <c r="E34" i="28"/>
  <c r="F34" i="28" s="1"/>
  <c r="J107" i="29"/>
  <c r="D109" i="29"/>
  <c r="I28" i="24"/>
  <c r="J105" i="31"/>
  <c r="G106" i="13"/>
  <c r="D107" i="13"/>
  <c r="J105" i="13"/>
  <c r="I26" i="20"/>
  <c r="I25" i="25"/>
  <c r="B26" i="13"/>
  <c r="F26" i="13"/>
  <c r="G26" i="13" s="1"/>
  <c r="B24" i="34"/>
  <c r="D33" i="3"/>
  <c r="E33" i="3"/>
  <c r="I27" i="21"/>
  <c r="B23" i="37"/>
  <c r="N5" i="37"/>
  <c r="B26" i="25"/>
  <c r="J111" i="18"/>
  <c r="I29" i="18"/>
  <c r="B22" i="38"/>
  <c r="B27" i="22"/>
  <c r="B27" i="26"/>
  <c r="B30" i="18"/>
  <c r="I26" i="26"/>
  <c r="I25" i="13"/>
  <c r="B30" i="19"/>
  <c r="B24" i="35"/>
  <c r="B28" i="27"/>
  <c r="B24" i="31"/>
  <c r="B28" i="28"/>
  <c r="B28" i="21"/>
  <c r="I24" i="29"/>
  <c r="I27" i="28"/>
  <c r="B28" i="23"/>
  <c r="B28" i="20"/>
  <c r="E28" i="20"/>
  <c r="F28" i="20" s="1"/>
  <c r="G27" i="20"/>
  <c r="H27" i="20"/>
  <c r="B31" i="4"/>
  <c r="J104" i="37"/>
  <c r="J112" i="4"/>
  <c r="J108" i="26"/>
  <c r="J105" i="35"/>
  <c r="B109" i="25"/>
  <c r="J109" i="28"/>
  <c r="D107" i="38"/>
  <c r="J105" i="38"/>
  <c r="J109" i="21"/>
  <c r="J105" i="34"/>
  <c r="J109" i="27"/>
  <c r="B113" i="19"/>
  <c r="J109" i="24"/>
  <c r="D111" i="27"/>
  <c r="I106" i="20"/>
  <c r="H106" i="20"/>
  <c r="B114" i="3"/>
  <c r="B110" i="22"/>
  <c r="F107" i="20"/>
  <c r="B107" i="20"/>
  <c r="B36" i="42" l="1"/>
  <c r="E36" i="42"/>
  <c r="F36" i="42" s="1"/>
  <c r="F119" i="42"/>
  <c r="B119" i="42"/>
  <c r="H34" i="28"/>
  <c r="G34" i="28"/>
  <c r="E35" i="28"/>
  <c r="F35" i="28" s="1"/>
  <c r="J108" i="29"/>
  <c r="B29" i="24"/>
  <c r="J113" i="3"/>
  <c r="E107" i="13"/>
  <c r="F107" i="13" s="1"/>
  <c r="B107" i="13"/>
  <c r="I106" i="13"/>
  <c r="H106" i="13"/>
  <c r="I24" i="31"/>
  <c r="I31" i="4"/>
  <c r="I28" i="28"/>
  <c r="I24" i="34"/>
  <c r="I25" i="29"/>
  <c r="I27" i="20"/>
  <c r="I24" i="35"/>
  <c r="I28" i="23"/>
  <c r="I27" i="26"/>
  <c r="H26" i="13"/>
  <c r="I26" i="13" s="1"/>
  <c r="D29" i="27"/>
  <c r="E29" i="27"/>
  <c r="I28" i="27"/>
  <c r="B33" i="3"/>
  <c r="F33" i="3"/>
  <c r="D27" i="13"/>
  <c r="E27" i="13" s="1"/>
  <c r="E33" i="4"/>
  <c r="E29" i="23"/>
  <c r="D29" i="23"/>
  <c r="I31" i="3"/>
  <c r="E29" i="20"/>
  <c r="F29" i="20" s="1"/>
  <c r="H28" i="20"/>
  <c r="G28" i="20"/>
  <c r="B29" i="20"/>
  <c r="I28" i="21"/>
  <c r="N6" i="37"/>
  <c r="N7" i="37" s="1"/>
  <c r="I26" i="25"/>
  <c r="B113" i="18"/>
  <c r="B114" i="4"/>
  <c r="B106" i="37"/>
  <c r="D110" i="25"/>
  <c r="J108" i="25"/>
  <c r="B107" i="35"/>
  <c r="B107" i="31"/>
  <c r="B111" i="28"/>
  <c r="B110" i="26"/>
  <c r="B111" i="24"/>
  <c r="B111" i="27"/>
  <c r="B107" i="34"/>
  <c r="J112" i="19"/>
  <c r="D114" i="19"/>
  <c r="J109" i="22"/>
  <c r="B111" i="21"/>
  <c r="B107" i="38"/>
  <c r="D111" i="22"/>
  <c r="D115" i="3"/>
  <c r="G107" i="20"/>
  <c r="D108" i="20"/>
  <c r="E108" i="20" s="1"/>
  <c r="J106" i="20"/>
  <c r="F35" i="17"/>
  <c r="G35" i="17" l="1"/>
  <c r="D37" i="42"/>
  <c r="E37" i="42" s="1"/>
  <c r="D120" i="42"/>
  <c r="E120" i="42" s="1"/>
  <c r="G119" i="42"/>
  <c r="H35" i="28"/>
  <c r="G35" i="28"/>
  <c r="E36" i="28"/>
  <c r="F36" i="28" s="1"/>
  <c r="I29" i="24"/>
  <c r="D30" i="24"/>
  <c r="E30" i="24"/>
  <c r="J106" i="13"/>
  <c r="J110" i="28"/>
  <c r="J106" i="35"/>
  <c r="D108" i="13"/>
  <c r="G107" i="13"/>
  <c r="I28" i="20"/>
  <c r="I30" i="19"/>
  <c r="B25" i="31"/>
  <c r="I23" i="37"/>
  <c r="B29" i="28"/>
  <c r="D34" i="3"/>
  <c r="E34" i="3"/>
  <c r="B29" i="21"/>
  <c r="F29" i="27"/>
  <c r="G29" i="27" s="1"/>
  <c r="B29" i="27"/>
  <c r="I27" i="22"/>
  <c r="B28" i="22"/>
  <c r="I32" i="3"/>
  <c r="G33" i="3"/>
  <c r="B31" i="18"/>
  <c r="I22" i="38"/>
  <c r="B23" i="38"/>
  <c r="I30" i="18"/>
  <c r="B32" i="4"/>
  <c r="D33" i="4"/>
  <c r="B27" i="25"/>
  <c r="B24" i="37"/>
  <c r="B27" i="13"/>
  <c r="F27" i="13"/>
  <c r="H27" i="13" s="1"/>
  <c r="B28" i="26"/>
  <c r="B25" i="35"/>
  <c r="B31" i="19"/>
  <c r="B25" i="34"/>
  <c r="G29" i="20"/>
  <c r="H29" i="20"/>
  <c r="B30" i="20"/>
  <c r="E30" i="20"/>
  <c r="F30" i="20" s="1"/>
  <c r="B29" i="23"/>
  <c r="F29" i="23"/>
  <c r="G29" i="23" s="1"/>
  <c r="H33" i="3"/>
  <c r="D115" i="4"/>
  <c r="J112" i="18"/>
  <c r="D114" i="18"/>
  <c r="J109" i="26"/>
  <c r="J113" i="4"/>
  <c r="J106" i="38"/>
  <c r="J105" i="37"/>
  <c r="J106" i="31"/>
  <c r="D108" i="31"/>
  <c r="B110" i="25"/>
  <c r="D111" i="26"/>
  <c r="D107" i="37"/>
  <c r="J110" i="24"/>
  <c r="D108" i="35"/>
  <c r="J110" i="27"/>
  <c r="B114" i="19"/>
  <c r="J106" i="34"/>
  <c r="D108" i="34"/>
  <c r="D112" i="24"/>
  <c r="D112" i="21"/>
  <c r="J110" i="21"/>
  <c r="I107" i="20"/>
  <c r="H107" i="20"/>
  <c r="B115" i="3"/>
  <c r="B111" i="22"/>
  <c r="B108" i="20"/>
  <c r="F108" i="20"/>
  <c r="F120" i="42" l="1"/>
  <c r="B120" i="42"/>
  <c r="F37" i="42"/>
  <c r="B37" i="42"/>
  <c r="H36" i="28"/>
  <c r="G36" i="28"/>
  <c r="E37" i="28"/>
  <c r="F37" i="28" s="1"/>
  <c r="B30" i="24"/>
  <c r="F30" i="24"/>
  <c r="G30" i="24" s="1"/>
  <c r="I28" i="26"/>
  <c r="I107" i="13"/>
  <c r="H107" i="13"/>
  <c r="E108" i="13"/>
  <c r="F108" i="13" s="1"/>
  <c r="B108" i="13"/>
  <c r="I33" i="3"/>
  <c r="H29" i="23"/>
  <c r="I29" i="23" s="1"/>
  <c r="I24" i="37"/>
  <c r="I23" i="38"/>
  <c r="I31" i="18"/>
  <c r="I25" i="31"/>
  <c r="I29" i="20"/>
  <c r="I29" i="28"/>
  <c r="D27" i="29"/>
  <c r="E27" i="29"/>
  <c r="D32" i="19"/>
  <c r="E32" i="19"/>
  <c r="E33" i="19"/>
  <c r="D29" i="22"/>
  <c r="E29" i="22"/>
  <c r="D30" i="21"/>
  <c r="E30" i="21"/>
  <c r="D29" i="26"/>
  <c r="E29" i="26"/>
  <c r="D28" i="13"/>
  <c r="D28" i="25"/>
  <c r="E28" i="25"/>
  <c r="D32" i="18"/>
  <c r="E33" i="18"/>
  <c r="E32" i="18"/>
  <c r="E30" i="23"/>
  <c r="D30" i="23"/>
  <c r="D26" i="34"/>
  <c r="E26" i="34"/>
  <c r="D26" i="35"/>
  <c r="E26" i="35"/>
  <c r="F34" i="3"/>
  <c r="B34" i="3"/>
  <c r="F33" i="4"/>
  <c r="H33" i="4" s="1"/>
  <c r="B33" i="4"/>
  <c r="I25" i="34"/>
  <c r="I25" i="35"/>
  <c r="G27" i="13"/>
  <c r="I27" i="13" s="1"/>
  <c r="D30" i="27"/>
  <c r="E30" i="27"/>
  <c r="G30" i="20"/>
  <c r="N5" i="20" s="1"/>
  <c r="H30" i="20"/>
  <c r="N6" i="20" s="1"/>
  <c r="N7" i="20" s="1"/>
  <c r="B31" i="20"/>
  <c r="E31" i="20"/>
  <c r="F31" i="20" s="1"/>
  <c r="I31" i="19"/>
  <c r="D25" i="37"/>
  <c r="E25" i="37"/>
  <c r="H29" i="27"/>
  <c r="I29" i="27" s="1"/>
  <c r="D26" i="31"/>
  <c r="E26" i="31"/>
  <c r="B115" i="4"/>
  <c r="B114" i="18"/>
  <c r="J109" i="25"/>
  <c r="B112" i="28"/>
  <c r="B108" i="35"/>
  <c r="B108" i="31"/>
  <c r="B111" i="26"/>
  <c r="B107" i="37"/>
  <c r="J113" i="19"/>
  <c r="B112" i="21"/>
  <c r="B112" i="24"/>
  <c r="J114" i="3"/>
  <c r="B108" i="34"/>
  <c r="J107" i="20"/>
  <c r="J110" i="22"/>
  <c r="G108" i="20"/>
  <c r="D109" i="20"/>
  <c r="E109" i="20" s="1"/>
  <c r="F22" i="17"/>
  <c r="G22" i="17" l="1"/>
  <c r="D38" i="42"/>
  <c r="E38" i="42" s="1"/>
  <c r="G120" i="42"/>
  <c r="D121" i="42"/>
  <c r="H37" i="28"/>
  <c r="G37" i="28"/>
  <c r="E38" i="28"/>
  <c r="F38" i="28" s="1"/>
  <c r="H30" i="24"/>
  <c r="I30" i="24" s="1"/>
  <c r="D31" i="24"/>
  <c r="E31" i="24"/>
  <c r="D109" i="13"/>
  <c r="G108" i="13"/>
  <c r="J107" i="13"/>
  <c r="I30" i="20"/>
  <c r="I28" i="22"/>
  <c r="I29" i="21"/>
  <c r="J114" i="4"/>
  <c r="D35" i="3"/>
  <c r="E35" i="3"/>
  <c r="F26" i="34"/>
  <c r="H26" i="34" s="1"/>
  <c r="B26" i="34"/>
  <c r="F32" i="18"/>
  <c r="D33" i="18" s="1"/>
  <c r="B32" i="18"/>
  <c r="B29" i="22"/>
  <c r="F29" i="22"/>
  <c r="H29" i="22" s="1"/>
  <c r="B24" i="38"/>
  <c r="D34" i="4"/>
  <c r="E34" i="4"/>
  <c r="F30" i="23"/>
  <c r="B30" i="23"/>
  <c r="J111" i="21"/>
  <c r="I27" i="25"/>
  <c r="I26" i="29"/>
  <c r="G33" i="4"/>
  <c r="I33" i="4" s="1"/>
  <c r="B28" i="25"/>
  <c r="F28" i="25"/>
  <c r="G28" i="25" s="1"/>
  <c r="B28" i="13"/>
  <c r="B29" i="26"/>
  <c r="F29" i="26"/>
  <c r="H29" i="26" s="1"/>
  <c r="B25" i="37"/>
  <c r="F25" i="37"/>
  <c r="H25" i="37" s="1"/>
  <c r="I32" i="4"/>
  <c r="E28" i="13"/>
  <c r="F28" i="13" s="1"/>
  <c r="J110" i="26"/>
  <c r="B30" i="28"/>
  <c r="G34" i="3"/>
  <c r="B32" i="19"/>
  <c r="F32" i="19"/>
  <c r="D33" i="19" s="1"/>
  <c r="B26" i="31"/>
  <c r="F26" i="31"/>
  <c r="G26" i="31" s="1"/>
  <c r="E32" i="20"/>
  <c r="F32" i="20" s="1"/>
  <c r="E33" i="20"/>
  <c r="F33" i="20" s="1"/>
  <c r="B32" i="20"/>
  <c r="H31" i="20"/>
  <c r="G31" i="20"/>
  <c r="H34" i="3"/>
  <c r="B26" i="35"/>
  <c r="F26" i="35"/>
  <c r="H26" i="35" s="1"/>
  <c r="F30" i="21"/>
  <c r="H30" i="21" s="1"/>
  <c r="B30" i="21"/>
  <c r="J113" i="18"/>
  <c r="B30" i="27"/>
  <c r="F30" i="27"/>
  <c r="H30" i="27" s="1"/>
  <c r="F27" i="29"/>
  <c r="H27" i="29" s="1"/>
  <c r="J107" i="31"/>
  <c r="J111" i="28"/>
  <c r="J106" i="37"/>
  <c r="J107" i="35"/>
  <c r="J111" i="24"/>
  <c r="J107" i="34"/>
  <c r="I108" i="20"/>
  <c r="H108" i="20"/>
  <c r="F109" i="20"/>
  <c r="B109" i="20"/>
  <c r="B121" i="42" l="1"/>
  <c r="E121" i="42"/>
  <c r="F121" i="42" s="1"/>
  <c r="F38" i="42"/>
  <c r="B38" i="42"/>
  <c r="H38" i="28"/>
  <c r="G38" i="28"/>
  <c r="E39" i="28"/>
  <c r="F39" i="28" s="1"/>
  <c r="B31" i="24"/>
  <c r="F31" i="24"/>
  <c r="G31" i="24" s="1"/>
  <c r="G26" i="34"/>
  <c r="I26" i="34" s="1"/>
  <c r="H108" i="13"/>
  <c r="I108" i="13"/>
  <c r="E109" i="13"/>
  <c r="F109" i="13" s="1"/>
  <c r="B109" i="13"/>
  <c r="G25" i="37"/>
  <c r="I25" i="37" s="1"/>
  <c r="G29" i="26"/>
  <c r="I29" i="26" s="1"/>
  <c r="I34" i="3"/>
  <c r="G30" i="21"/>
  <c r="I30" i="21" s="1"/>
  <c r="I31" i="20"/>
  <c r="G32" i="19"/>
  <c r="D29" i="13"/>
  <c r="E29" i="13" s="1"/>
  <c r="H28" i="13"/>
  <c r="G28" i="13"/>
  <c r="G26" i="35"/>
  <c r="I26" i="35" s="1"/>
  <c r="G32" i="18"/>
  <c r="D27" i="31"/>
  <c r="E27" i="31"/>
  <c r="D31" i="23"/>
  <c r="E31" i="23"/>
  <c r="D25" i="38"/>
  <c r="E25" i="38"/>
  <c r="B33" i="18"/>
  <c r="F33" i="18"/>
  <c r="G33" i="18" s="1"/>
  <c r="D28" i="29"/>
  <c r="E28" i="29"/>
  <c r="H26" i="31"/>
  <c r="I26" i="31" s="1"/>
  <c r="H30" i="23"/>
  <c r="G27" i="29"/>
  <c r="I27" i="29" s="1"/>
  <c r="D26" i="37"/>
  <c r="E26" i="37"/>
  <c r="G30" i="23"/>
  <c r="D30" i="22"/>
  <c r="E30" i="22"/>
  <c r="D31" i="27"/>
  <c r="E31" i="27"/>
  <c r="B33" i="19"/>
  <c r="F33" i="19"/>
  <c r="G33" i="19" s="1"/>
  <c r="I30" i="28"/>
  <c r="G29" i="22"/>
  <c r="I29" i="22" s="1"/>
  <c r="G30" i="27"/>
  <c r="I30" i="27" s="1"/>
  <c r="D31" i="21"/>
  <c r="E31" i="21"/>
  <c r="F34" i="4"/>
  <c r="H34" i="4" s="1"/>
  <c r="B34" i="4"/>
  <c r="D27" i="34"/>
  <c r="E27" i="34"/>
  <c r="D27" i="35"/>
  <c r="E27" i="35"/>
  <c r="E34" i="20"/>
  <c r="F34" i="20" s="1"/>
  <c r="B34" i="20"/>
  <c r="H33" i="20"/>
  <c r="G33" i="20"/>
  <c r="D29" i="25"/>
  <c r="E29" i="25"/>
  <c r="G32" i="20"/>
  <c r="H32" i="20"/>
  <c r="B33" i="20"/>
  <c r="H32" i="19"/>
  <c r="D30" i="26"/>
  <c r="E30" i="26"/>
  <c r="H28" i="25"/>
  <c r="I28" i="25" s="1"/>
  <c r="I24" i="38"/>
  <c r="H32" i="18"/>
  <c r="F35" i="3"/>
  <c r="H35" i="3" s="1"/>
  <c r="B35" i="3"/>
  <c r="B113" i="28"/>
  <c r="G109" i="20"/>
  <c r="D110" i="20"/>
  <c r="E110" i="20" s="1"/>
  <c r="J108" i="20"/>
  <c r="G121" i="42" l="1"/>
  <c r="D122" i="42"/>
  <c r="E122" i="42" s="1"/>
  <c r="D39" i="42"/>
  <c r="E39" i="42" s="1"/>
  <c r="H39" i="28"/>
  <c r="G39" i="28"/>
  <c r="E40" i="28"/>
  <c r="F40" i="28" s="1"/>
  <c r="I32" i="19"/>
  <c r="G35" i="3"/>
  <c r="I35" i="3" s="1"/>
  <c r="J108" i="13"/>
  <c r="H31" i="24"/>
  <c r="I31" i="24" s="1"/>
  <c r="D32" i="24"/>
  <c r="E32" i="24"/>
  <c r="G109" i="13"/>
  <c r="D110" i="13"/>
  <c r="I33" i="20"/>
  <c r="I30" i="23"/>
  <c r="I32" i="18"/>
  <c r="F29" i="25"/>
  <c r="G29" i="25" s="1"/>
  <c r="B29" i="25"/>
  <c r="H33" i="18"/>
  <c r="I33" i="18" s="1"/>
  <c r="B27" i="34"/>
  <c r="F27" i="34"/>
  <c r="G27" i="34" s="1"/>
  <c r="B31" i="28"/>
  <c r="B30" i="26"/>
  <c r="F30" i="26"/>
  <c r="B31" i="27"/>
  <c r="F31" i="27"/>
  <c r="G31" i="27" s="1"/>
  <c r="B25" i="38"/>
  <c r="F25" i="38"/>
  <c r="G25" i="38" s="1"/>
  <c r="F26" i="37"/>
  <c r="G26" i="37" s="1"/>
  <c r="B26" i="37"/>
  <c r="I28" i="13"/>
  <c r="B35" i="20"/>
  <c r="H34" i="20"/>
  <c r="G34" i="20"/>
  <c r="E35" i="20"/>
  <c r="F35" i="20" s="1"/>
  <c r="D35" i="4"/>
  <c r="E35" i="4"/>
  <c r="D34" i="19"/>
  <c r="E34" i="19"/>
  <c r="F30" i="22"/>
  <c r="H30" i="22" s="1"/>
  <c r="B30" i="22"/>
  <c r="F28" i="29"/>
  <c r="H28" i="29" s="1"/>
  <c r="F31" i="23"/>
  <c r="B31" i="23"/>
  <c r="D36" i="3"/>
  <c r="E36" i="3"/>
  <c r="I32" i="20"/>
  <c r="G34" i="4"/>
  <c r="I34" i="4" s="1"/>
  <c r="H33" i="19"/>
  <c r="I33" i="19" s="1"/>
  <c r="B29" i="13"/>
  <c r="F29" i="13"/>
  <c r="H29" i="13" s="1"/>
  <c r="B27" i="35"/>
  <c r="F27" i="35"/>
  <c r="H27" i="35" s="1"/>
  <c r="D34" i="18"/>
  <c r="E34" i="18"/>
  <c r="F27" i="31"/>
  <c r="H27" i="31" s="1"/>
  <c r="B27" i="31"/>
  <c r="B31" i="21"/>
  <c r="F31" i="21"/>
  <c r="H31" i="21" s="1"/>
  <c r="J112" i="28"/>
  <c r="B110" i="20"/>
  <c r="F110" i="20"/>
  <c r="H109" i="20"/>
  <c r="I109" i="20"/>
  <c r="B122" i="42" l="1"/>
  <c r="F122" i="42"/>
  <c r="F39" i="42"/>
  <c r="B39" i="42"/>
  <c r="H40" i="28"/>
  <c r="G40" i="28"/>
  <c r="E41" i="28"/>
  <c r="F41" i="28" s="1"/>
  <c r="B32" i="24"/>
  <c r="F32" i="24"/>
  <c r="H32" i="24" s="1"/>
  <c r="G27" i="35"/>
  <c r="I27" i="35" s="1"/>
  <c r="E110" i="13"/>
  <c r="F110" i="13" s="1"/>
  <c r="B110" i="13"/>
  <c r="I109" i="13"/>
  <c r="H109" i="13"/>
  <c r="G29" i="13"/>
  <c r="I29" i="13" s="1"/>
  <c r="G28" i="29"/>
  <c r="I28" i="29" s="1"/>
  <c r="I31" i="28"/>
  <c r="G30" i="22"/>
  <c r="I30" i="22" s="1"/>
  <c r="F35" i="4"/>
  <c r="G35" i="4" s="1"/>
  <c r="B35" i="4"/>
  <c r="G35" i="20"/>
  <c r="E36" i="20"/>
  <c r="F36" i="20" s="1"/>
  <c r="B36" i="20"/>
  <c r="H35" i="20"/>
  <c r="D27" i="37"/>
  <c r="E27" i="37"/>
  <c r="D32" i="27"/>
  <c r="E32" i="27"/>
  <c r="D32" i="21"/>
  <c r="E32" i="21"/>
  <c r="B34" i="18"/>
  <c r="F34" i="18"/>
  <c r="H34" i="18" s="1"/>
  <c r="D32" i="23"/>
  <c r="E32" i="23"/>
  <c r="I34" i="20"/>
  <c r="H31" i="27"/>
  <c r="I31" i="27" s="1"/>
  <c r="H29" i="25"/>
  <c r="I29" i="25" s="1"/>
  <c r="G31" i="21"/>
  <c r="I31" i="21" s="1"/>
  <c r="D28" i="35"/>
  <c r="E28" i="35"/>
  <c r="H31" i="23"/>
  <c r="D31" i="22"/>
  <c r="E31" i="22"/>
  <c r="H25" i="38"/>
  <c r="I25" i="38" s="1"/>
  <c r="D31" i="26"/>
  <c r="E31" i="26"/>
  <c r="G31" i="23"/>
  <c r="H30" i="26"/>
  <c r="D28" i="34"/>
  <c r="E28" i="34"/>
  <c r="D28" i="31"/>
  <c r="E28" i="31"/>
  <c r="B34" i="19"/>
  <c r="F34" i="19"/>
  <c r="H34" i="19" s="1"/>
  <c r="D26" i="38"/>
  <c r="E26" i="38"/>
  <c r="D30" i="25"/>
  <c r="E30" i="25"/>
  <c r="G27" i="31"/>
  <c r="I27" i="31" s="1"/>
  <c r="D30" i="13"/>
  <c r="E30" i="13" s="1"/>
  <c r="F36" i="3"/>
  <c r="H36" i="3" s="1"/>
  <c r="B36" i="3"/>
  <c r="D29" i="29"/>
  <c r="E29" i="29"/>
  <c r="H26" i="37"/>
  <c r="I26" i="37" s="1"/>
  <c r="G30" i="26"/>
  <c r="H27" i="34"/>
  <c r="I27" i="34" s="1"/>
  <c r="B114" i="28"/>
  <c r="J109" i="20"/>
  <c r="D111" i="20"/>
  <c r="E111" i="20" s="1"/>
  <c r="G110" i="20"/>
  <c r="D40" i="42" l="1"/>
  <c r="E40" i="42" s="1"/>
  <c r="G122" i="42"/>
  <c r="D123" i="42"/>
  <c r="H41" i="28"/>
  <c r="G41" i="28"/>
  <c r="E42" i="28"/>
  <c r="F42" i="28" s="1"/>
  <c r="G32" i="24"/>
  <c r="I32" i="24" s="1"/>
  <c r="D33" i="24"/>
  <c r="E33" i="24"/>
  <c r="J109" i="13"/>
  <c r="D111" i="13"/>
  <c r="G110" i="13"/>
  <c r="H35" i="4"/>
  <c r="I35" i="4" s="1"/>
  <c r="G36" i="3"/>
  <c r="I36" i="3" s="1"/>
  <c r="G34" i="19"/>
  <c r="I34" i="19" s="1"/>
  <c r="I31" i="23"/>
  <c r="F30" i="25"/>
  <c r="G30" i="25" s="1"/>
  <c r="B30" i="25"/>
  <c r="B28" i="31"/>
  <c r="F28" i="31"/>
  <c r="H28" i="31" s="1"/>
  <c r="B32" i="28"/>
  <c r="F31" i="22"/>
  <c r="B31" i="22"/>
  <c r="D35" i="18"/>
  <c r="E35" i="18"/>
  <c r="B26" i="38"/>
  <c r="F26" i="38"/>
  <c r="G26" i="38" s="1"/>
  <c r="B28" i="34"/>
  <c r="F28" i="34"/>
  <c r="H28" i="34" s="1"/>
  <c r="B32" i="23"/>
  <c r="F32" i="23"/>
  <c r="H32" i="23" s="1"/>
  <c r="F32" i="27"/>
  <c r="H32" i="27" s="1"/>
  <c r="B32" i="27"/>
  <c r="D37" i="3"/>
  <c r="E37" i="3"/>
  <c r="I30" i="26"/>
  <c r="G34" i="18"/>
  <c r="I34" i="18" s="1"/>
  <c r="B28" i="35"/>
  <c r="F28" i="35"/>
  <c r="G28" i="35" s="1"/>
  <c r="B27" i="37"/>
  <c r="F27" i="37"/>
  <c r="D36" i="4"/>
  <c r="E36" i="4"/>
  <c r="F30" i="13"/>
  <c r="G30" i="13" s="1"/>
  <c r="B30" i="13"/>
  <c r="D35" i="19"/>
  <c r="E35" i="19"/>
  <c r="I35" i="20"/>
  <c r="F31" i="26"/>
  <c r="H31" i="26" s="1"/>
  <c r="B31" i="26"/>
  <c r="F32" i="21"/>
  <c r="D33" i="21" s="1"/>
  <c r="E33" i="21" s="1"/>
  <c r="B32" i="21"/>
  <c r="F29" i="29"/>
  <c r="H36" i="20"/>
  <c r="E37" i="20"/>
  <c r="F37" i="20" s="1"/>
  <c r="G36" i="20"/>
  <c r="B37" i="20"/>
  <c r="J113" i="28"/>
  <c r="B111" i="20"/>
  <c r="F111" i="20"/>
  <c r="I110" i="20"/>
  <c r="H110" i="20"/>
  <c r="B123" i="42" l="1"/>
  <c r="E123" i="42"/>
  <c r="F123" i="42" s="1"/>
  <c r="F40" i="42"/>
  <c r="B40" i="42"/>
  <c r="H42" i="28"/>
  <c r="G42" i="28"/>
  <c r="E43" i="28"/>
  <c r="F43" i="28" s="1"/>
  <c r="F33" i="24"/>
  <c r="H33" i="24" s="1"/>
  <c r="B33" i="24"/>
  <c r="G32" i="27"/>
  <c r="I32" i="27" s="1"/>
  <c r="I110" i="13"/>
  <c r="H110" i="13"/>
  <c r="E111" i="13"/>
  <c r="F111" i="13" s="1"/>
  <c r="B111" i="13"/>
  <c r="G31" i="26"/>
  <c r="I31" i="26" s="1"/>
  <c r="G28" i="31"/>
  <c r="I28" i="31" s="1"/>
  <c r="G32" i="23"/>
  <c r="I32" i="23" s="1"/>
  <c r="D31" i="13"/>
  <c r="E31" i="13" s="1"/>
  <c r="D28" i="37"/>
  <c r="E28" i="37"/>
  <c r="D32" i="26"/>
  <c r="E32" i="26"/>
  <c r="D27" i="38"/>
  <c r="E27" i="38"/>
  <c r="D32" i="22"/>
  <c r="E33" i="22"/>
  <c r="E32" i="22"/>
  <c r="B38" i="20"/>
  <c r="G37" i="20"/>
  <c r="E38" i="20"/>
  <c r="F38" i="20" s="1"/>
  <c r="H37" i="20"/>
  <c r="D33" i="23"/>
  <c r="E33" i="23"/>
  <c r="I36" i="20"/>
  <c r="H32" i="21"/>
  <c r="F37" i="3"/>
  <c r="G37" i="3" s="1"/>
  <c r="B37" i="3"/>
  <c r="H26" i="38"/>
  <c r="I26" i="38" s="1"/>
  <c r="H30" i="25"/>
  <c r="I30" i="25" s="1"/>
  <c r="G32" i="21"/>
  <c r="D29" i="35"/>
  <c r="E29" i="35"/>
  <c r="G28" i="34"/>
  <c r="I28" i="34" s="1"/>
  <c r="D30" i="29"/>
  <c r="E30" i="29"/>
  <c r="B33" i="21"/>
  <c r="F33" i="21"/>
  <c r="G33" i="21" s="1"/>
  <c r="B35" i="19"/>
  <c r="F35" i="19"/>
  <c r="G35" i="19" s="1"/>
  <c r="B36" i="4"/>
  <c r="F36" i="4"/>
  <c r="G36" i="4" s="1"/>
  <c r="H28" i="35"/>
  <c r="I28" i="35" s="1"/>
  <c r="B35" i="18"/>
  <c r="F35" i="18"/>
  <c r="G35" i="18" s="1"/>
  <c r="I32" i="28"/>
  <c r="G29" i="29"/>
  <c r="H30" i="13"/>
  <c r="I30" i="13" s="1"/>
  <c r="G27" i="37"/>
  <c r="D29" i="34"/>
  <c r="E29" i="34"/>
  <c r="G31" i="22"/>
  <c r="D31" i="25"/>
  <c r="E31" i="25"/>
  <c r="H29" i="29"/>
  <c r="H27" i="37"/>
  <c r="D33" i="27"/>
  <c r="E33" i="27"/>
  <c r="H31" i="22"/>
  <c r="D29" i="31"/>
  <c r="E29" i="31"/>
  <c r="B115" i="28"/>
  <c r="G111" i="20"/>
  <c r="D112" i="20"/>
  <c r="J110" i="20"/>
  <c r="D124" i="42" l="1"/>
  <c r="E124" i="42" s="1"/>
  <c r="G123" i="42"/>
  <c r="D41" i="42"/>
  <c r="E41" i="42" s="1"/>
  <c r="H43" i="28"/>
  <c r="G43" i="28"/>
  <c r="E44" i="28"/>
  <c r="F44" i="28" s="1"/>
  <c r="I29" i="29"/>
  <c r="G33" i="24"/>
  <c r="I33" i="24" s="1"/>
  <c r="D34" i="24"/>
  <c r="E34" i="24"/>
  <c r="D112" i="13"/>
  <c r="G111" i="13"/>
  <c r="J110" i="13"/>
  <c r="I37" i="20"/>
  <c r="I31" i="22"/>
  <c r="I32" i="21"/>
  <c r="B29" i="31"/>
  <c r="F29" i="31"/>
  <c r="G29" i="31" s="1"/>
  <c r="F27" i="38"/>
  <c r="H27" i="38" s="1"/>
  <c r="B27" i="38"/>
  <c r="D36" i="18"/>
  <c r="E36" i="18"/>
  <c r="D36" i="19"/>
  <c r="E36" i="19"/>
  <c r="F30" i="29"/>
  <c r="H30" i="29" s="1"/>
  <c r="B33" i="28"/>
  <c r="G38" i="20"/>
  <c r="B39" i="20"/>
  <c r="E39" i="20"/>
  <c r="F39" i="20" s="1"/>
  <c r="H38" i="20"/>
  <c r="B29" i="34"/>
  <c r="F29" i="34"/>
  <c r="H29" i="34" s="1"/>
  <c r="H35" i="19"/>
  <c r="I35" i="19" s="1"/>
  <c r="B32" i="26"/>
  <c r="F32" i="26"/>
  <c r="G32" i="26" s="1"/>
  <c r="B33" i="27"/>
  <c r="F33" i="27"/>
  <c r="H33" i="27" s="1"/>
  <c r="F33" i="23"/>
  <c r="H33" i="23" s="1"/>
  <c r="B33" i="23"/>
  <c r="I27" i="37"/>
  <c r="H36" i="4"/>
  <c r="I36" i="4" s="1"/>
  <c r="H33" i="21"/>
  <c r="I33" i="21" s="1"/>
  <c r="D38" i="3"/>
  <c r="E38" i="3"/>
  <c r="B28" i="37"/>
  <c r="F28" i="37"/>
  <c r="G28" i="37" s="1"/>
  <c r="H37" i="3"/>
  <c r="I37" i="3" s="1"/>
  <c r="D37" i="4"/>
  <c r="E37" i="4"/>
  <c r="D34" i="21"/>
  <c r="E34" i="21"/>
  <c r="B29" i="35"/>
  <c r="F29" i="35"/>
  <c r="G29" i="35" s="1"/>
  <c r="B32" i="22"/>
  <c r="F32" i="22"/>
  <c r="D33" i="22" s="1"/>
  <c r="F31" i="13"/>
  <c r="G31" i="13" s="1"/>
  <c r="B31" i="13"/>
  <c r="F31" i="25"/>
  <c r="G31" i="25" s="1"/>
  <c r="B31" i="25"/>
  <c r="H35" i="18"/>
  <c r="I35" i="18" s="1"/>
  <c r="J114" i="28"/>
  <c r="B112" i="20"/>
  <c r="I111" i="20"/>
  <c r="H111" i="20"/>
  <c r="E112" i="20"/>
  <c r="F112" i="20" s="1"/>
  <c r="B41" i="42" l="1"/>
  <c r="F41" i="42"/>
  <c r="F124" i="42"/>
  <c r="B124" i="42"/>
  <c r="H44" i="28"/>
  <c r="G44" i="28"/>
  <c r="E45" i="28"/>
  <c r="F45" i="28" s="1"/>
  <c r="B34" i="24"/>
  <c r="F34" i="24"/>
  <c r="H34" i="24" s="1"/>
  <c r="H28" i="37"/>
  <c r="I28" i="37" s="1"/>
  <c r="H111" i="13"/>
  <c r="I111" i="13"/>
  <c r="E112" i="13"/>
  <c r="F112" i="13" s="1"/>
  <c r="B112" i="13"/>
  <c r="H31" i="25"/>
  <c r="I31" i="25" s="1"/>
  <c r="G32" i="22"/>
  <c r="H32" i="22"/>
  <c r="G27" i="38"/>
  <c r="I27" i="38" s="1"/>
  <c r="G33" i="23"/>
  <c r="I33" i="23" s="1"/>
  <c r="I38" i="20"/>
  <c r="H29" i="35"/>
  <c r="I29" i="35" s="1"/>
  <c r="I33" i="28"/>
  <c r="F34" i="21"/>
  <c r="H34" i="21" s="1"/>
  <c r="B34" i="21"/>
  <c r="D33" i="26"/>
  <c r="E33" i="26"/>
  <c r="G29" i="34"/>
  <c r="I29" i="34" s="1"/>
  <c r="D32" i="25"/>
  <c r="E32" i="25"/>
  <c r="F37" i="4"/>
  <c r="H37" i="4" s="1"/>
  <c r="B37" i="4"/>
  <c r="E40" i="20"/>
  <c r="F40" i="20" s="1"/>
  <c r="B40" i="20"/>
  <c r="G39" i="20"/>
  <c r="H39" i="20"/>
  <c r="D31" i="29"/>
  <c r="E31" i="29"/>
  <c r="H31" i="13"/>
  <c r="I31" i="13" s="1"/>
  <c r="B38" i="3"/>
  <c r="F38" i="3"/>
  <c r="H38" i="3" s="1"/>
  <c r="D34" i="23"/>
  <c r="E34" i="23"/>
  <c r="H32" i="26"/>
  <c r="I32" i="26" s="1"/>
  <c r="G30" i="29"/>
  <c r="I30" i="29" s="1"/>
  <c r="D28" i="38"/>
  <c r="E28" i="38"/>
  <c r="G33" i="27"/>
  <c r="I33" i="27" s="1"/>
  <c r="H29" i="31"/>
  <c r="I29" i="31" s="1"/>
  <c r="D30" i="35"/>
  <c r="E30" i="35"/>
  <c r="B36" i="19"/>
  <c r="F36" i="19"/>
  <c r="G36" i="19" s="1"/>
  <c r="D32" i="13"/>
  <c r="E32" i="13" s="1"/>
  <c r="D34" i="27"/>
  <c r="E34" i="27"/>
  <c r="D30" i="34"/>
  <c r="E30" i="34"/>
  <c r="D30" i="31"/>
  <c r="E30" i="31"/>
  <c r="B33" i="22"/>
  <c r="F33" i="22"/>
  <c r="G33" i="22" s="1"/>
  <c r="D29" i="37"/>
  <c r="E29" i="37"/>
  <c r="B36" i="18"/>
  <c r="F36" i="18"/>
  <c r="H36" i="18" s="1"/>
  <c r="B116" i="28"/>
  <c r="J111" i="20"/>
  <c r="D113" i="20"/>
  <c r="E113" i="20" s="1"/>
  <c r="G112" i="20"/>
  <c r="D42" i="42" l="1"/>
  <c r="E42" i="42" s="1"/>
  <c r="D125" i="42"/>
  <c r="E125" i="42" s="1"/>
  <c r="G124" i="42"/>
  <c r="H45" i="28"/>
  <c r="G45" i="28"/>
  <c r="E46" i="28"/>
  <c r="F46" i="28" s="1"/>
  <c r="G34" i="24"/>
  <c r="I34" i="24" s="1"/>
  <c r="D35" i="24"/>
  <c r="E35" i="24"/>
  <c r="I32" i="22"/>
  <c r="G34" i="21"/>
  <c r="I34" i="21" s="1"/>
  <c r="J111" i="13"/>
  <c r="D113" i="13"/>
  <c r="B113" i="13" s="1"/>
  <c r="G112" i="13"/>
  <c r="H36" i="19"/>
  <c r="I36" i="19" s="1"/>
  <c r="G36" i="18"/>
  <c r="I36" i="18" s="1"/>
  <c r="I39" i="20"/>
  <c r="B30" i="31"/>
  <c r="F30" i="31"/>
  <c r="H30" i="31" s="1"/>
  <c r="F31" i="29"/>
  <c r="D38" i="4"/>
  <c r="E38" i="4"/>
  <c r="B29" i="37"/>
  <c r="F29" i="37"/>
  <c r="G29" i="37" s="1"/>
  <c r="B30" i="34"/>
  <c r="F30" i="34"/>
  <c r="H30" i="34" s="1"/>
  <c r="B34" i="23"/>
  <c r="F34" i="23"/>
  <c r="G34" i="23" s="1"/>
  <c r="D34" i="22"/>
  <c r="E34" i="22"/>
  <c r="B34" i="27"/>
  <c r="F34" i="27"/>
  <c r="H34" i="27" s="1"/>
  <c r="B34" i="28"/>
  <c r="D39" i="3"/>
  <c r="E39" i="3"/>
  <c r="B32" i="25"/>
  <c r="F32" i="25"/>
  <c r="H32" i="25" s="1"/>
  <c r="D35" i="21"/>
  <c r="E35" i="21"/>
  <c r="J115" i="28"/>
  <c r="D37" i="18"/>
  <c r="E37" i="18"/>
  <c r="H33" i="22"/>
  <c r="I33" i="22" s="1"/>
  <c r="H40" i="20"/>
  <c r="B41" i="20"/>
  <c r="E41" i="20"/>
  <c r="F41" i="20" s="1"/>
  <c r="G40" i="20"/>
  <c r="F32" i="13"/>
  <c r="H32" i="13" s="1"/>
  <c r="B32" i="13"/>
  <c r="B30" i="35"/>
  <c r="F30" i="35"/>
  <c r="H30" i="35" s="1"/>
  <c r="B28" i="38"/>
  <c r="F28" i="38"/>
  <c r="H28" i="38" s="1"/>
  <c r="G38" i="3"/>
  <c r="I38" i="3" s="1"/>
  <c r="G37" i="4"/>
  <c r="I37" i="4" s="1"/>
  <c r="D37" i="19"/>
  <c r="E37" i="19"/>
  <c r="B33" i="26"/>
  <c r="F33" i="26"/>
  <c r="G33" i="26" s="1"/>
  <c r="H112" i="20"/>
  <c r="I112" i="20"/>
  <c r="B113" i="20"/>
  <c r="F113" i="20"/>
  <c r="B125" i="42" l="1"/>
  <c r="F125" i="42"/>
  <c r="F42" i="42"/>
  <c r="B42" i="42"/>
  <c r="H46" i="28"/>
  <c r="G46" i="28"/>
  <c r="E47" i="28"/>
  <c r="F47" i="28" s="1"/>
  <c r="B35" i="24"/>
  <c r="F35" i="24"/>
  <c r="G35" i="24" s="1"/>
  <c r="E113" i="13"/>
  <c r="F113" i="13" s="1"/>
  <c r="H112" i="13"/>
  <c r="I112" i="13"/>
  <c r="H34" i="23"/>
  <c r="I34" i="23" s="1"/>
  <c r="I34" i="28"/>
  <c r="G30" i="34"/>
  <c r="I30" i="34" s="1"/>
  <c r="G34" i="27"/>
  <c r="I34" i="27" s="1"/>
  <c r="D34" i="26"/>
  <c r="E34" i="26"/>
  <c r="D29" i="38"/>
  <c r="E29" i="38"/>
  <c r="D33" i="13"/>
  <c r="B37" i="18"/>
  <c r="F37" i="18"/>
  <c r="D30" i="37"/>
  <c r="E30" i="37"/>
  <c r="G32" i="13"/>
  <c r="I32" i="13" s="1"/>
  <c r="D35" i="27"/>
  <c r="E35" i="27"/>
  <c r="B39" i="3"/>
  <c r="F39" i="3"/>
  <c r="H39" i="3" s="1"/>
  <c r="D31" i="31"/>
  <c r="E31" i="31"/>
  <c r="F37" i="19"/>
  <c r="H37" i="19" s="1"/>
  <c r="B37" i="19"/>
  <c r="D31" i="35"/>
  <c r="E31" i="35"/>
  <c r="E42" i="20"/>
  <c r="F42" i="20" s="1"/>
  <c r="H41" i="20"/>
  <c r="B42" i="20"/>
  <c r="G41" i="20"/>
  <c r="F38" i="4"/>
  <c r="G38" i="4" s="1"/>
  <c r="B38" i="4"/>
  <c r="G30" i="31"/>
  <c r="I30" i="31" s="1"/>
  <c r="G30" i="35"/>
  <c r="I30" i="35" s="1"/>
  <c r="B35" i="21"/>
  <c r="F35" i="21"/>
  <c r="G35" i="21" s="1"/>
  <c r="B34" i="22"/>
  <c r="F34" i="22"/>
  <c r="H34" i="22" s="1"/>
  <c r="D31" i="34"/>
  <c r="E31" i="34"/>
  <c r="D32" i="29"/>
  <c r="E32" i="29"/>
  <c r="I40" i="20"/>
  <c r="D33" i="25"/>
  <c r="E33" i="25"/>
  <c r="G31" i="29"/>
  <c r="H33" i="26"/>
  <c r="I33" i="26" s="1"/>
  <c r="G28" i="38"/>
  <c r="I28" i="38" s="1"/>
  <c r="G32" i="25"/>
  <c r="I32" i="25" s="1"/>
  <c r="D35" i="23"/>
  <c r="E35" i="23"/>
  <c r="H29" i="37"/>
  <c r="I29" i="37" s="1"/>
  <c r="H31" i="29"/>
  <c r="B117" i="28"/>
  <c r="D114" i="20"/>
  <c r="E114" i="20" s="1"/>
  <c r="G113" i="20"/>
  <c r="J112" i="20"/>
  <c r="G125" i="42" l="1"/>
  <c r="D126" i="42"/>
  <c r="E126" i="42" s="1"/>
  <c r="D43" i="42"/>
  <c r="H47" i="28"/>
  <c r="G47" i="28"/>
  <c r="E48" i="28"/>
  <c r="F48" i="28" s="1"/>
  <c r="G37" i="19"/>
  <c r="I37" i="19" s="1"/>
  <c r="H35" i="24"/>
  <c r="I35" i="24" s="1"/>
  <c r="D36" i="24"/>
  <c r="E36" i="24"/>
  <c r="J112" i="13"/>
  <c r="D114" i="13"/>
  <c r="G113" i="13"/>
  <c r="I31" i="29"/>
  <c r="I41" i="20"/>
  <c r="H38" i="4"/>
  <c r="I38" i="4" s="1"/>
  <c r="B33" i="13"/>
  <c r="F35" i="23"/>
  <c r="B35" i="23"/>
  <c r="D35" i="22"/>
  <c r="E35" i="22"/>
  <c r="B33" i="25"/>
  <c r="F33" i="25"/>
  <c r="H33" i="25" s="1"/>
  <c r="G42" i="20"/>
  <c r="E43" i="20"/>
  <c r="F43" i="20" s="1"/>
  <c r="B43" i="20"/>
  <c r="H42" i="20"/>
  <c r="F31" i="31"/>
  <c r="H31" i="31" s="1"/>
  <c r="B31" i="31"/>
  <c r="F30" i="37"/>
  <c r="G30" i="37" s="1"/>
  <c r="B30" i="37"/>
  <c r="B29" i="38"/>
  <c r="F29" i="38"/>
  <c r="B35" i="28"/>
  <c r="G34" i="22"/>
  <c r="I34" i="22" s="1"/>
  <c r="F35" i="27"/>
  <c r="H35" i="27" s="1"/>
  <c r="B35" i="27"/>
  <c r="D38" i="18"/>
  <c r="E38" i="18"/>
  <c r="H35" i="21"/>
  <c r="I35" i="21" s="1"/>
  <c r="B31" i="35"/>
  <c r="F31" i="35"/>
  <c r="G31" i="35" s="1"/>
  <c r="D40" i="3"/>
  <c r="E40" i="3"/>
  <c r="H37" i="18"/>
  <c r="F32" i="29"/>
  <c r="D39" i="4"/>
  <c r="E39" i="4"/>
  <c r="G39" i="3"/>
  <c r="I39" i="3" s="1"/>
  <c r="G37" i="18"/>
  <c r="F34" i="26"/>
  <c r="G34" i="26" s="1"/>
  <c r="B34" i="26"/>
  <c r="D36" i="21"/>
  <c r="E36" i="21"/>
  <c r="F31" i="34"/>
  <c r="G31" i="34" s="1"/>
  <c r="B31" i="34"/>
  <c r="D38" i="19"/>
  <c r="E38" i="19"/>
  <c r="E33" i="13"/>
  <c r="F33" i="13" s="1"/>
  <c r="J116" i="28"/>
  <c r="I113" i="20"/>
  <c r="H113" i="20"/>
  <c r="B114" i="20"/>
  <c r="F114" i="20"/>
  <c r="B43" i="42" l="1"/>
  <c r="B126" i="42"/>
  <c r="F126" i="42"/>
  <c r="E43" i="42"/>
  <c r="F43" i="42" s="1"/>
  <c r="H48" i="28"/>
  <c r="G48" i="28"/>
  <c r="E49" i="28"/>
  <c r="F49" i="28" s="1"/>
  <c r="B36" i="24"/>
  <c r="F36" i="24"/>
  <c r="G36" i="24" s="1"/>
  <c r="H113" i="13"/>
  <c r="I113" i="13"/>
  <c r="E114" i="13"/>
  <c r="F114" i="13" s="1"/>
  <c r="B114" i="13"/>
  <c r="H34" i="26"/>
  <c r="I34" i="26" s="1"/>
  <c r="H31" i="35"/>
  <c r="I31" i="35" s="1"/>
  <c r="D34" i="13"/>
  <c r="E34" i="13" s="1"/>
  <c r="H33" i="13"/>
  <c r="G33" i="13"/>
  <c r="D33" i="29"/>
  <c r="E33" i="29"/>
  <c r="D30" i="38"/>
  <c r="E30" i="38"/>
  <c r="E36" i="23"/>
  <c r="D36" i="23"/>
  <c r="D32" i="34"/>
  <c r="E32" i="34"/>
  <c r="H32" i="29"/>
  <c r="G29" i="38"/>
  <c r="D32" i="31"/>
  <c r="E32" i="31"/>
  <c r="D34" i="25"/>
  <c r="E34" i="25"/>
  <c r="H31" i="34"/>
  <c r="I31" i="34" s="1"/>
  <c r="I37" i="18"/>
  <c r="I42" i="20"/>
  <c r="F38" i="18"/>
  <c r="G38" i="18" s="1"/>
  <c r="B38" i="18"/>
  <c r="I35" i="28"/>
  <c r="H30" i="37"/>
  <c r="I30" i="37" s="1"/>
  <c r="B35" i="22"/>
  <c r="F35" i="22"/>
  <c r="G35" i="22" s="1"/>
  <c r="B36" i="21"/>
  <c r="F36" i="21"/>
  <c r="H36" i="21" s="1"/>
  <c r="B40" i="3"/>
  <c r="F40" i="3"/>
  <c r="H40" i="3" s="1"/>
  <c r="E44" i="20"/>
  <c r="F44" i="20" s="1"/>
  <c r="B44" i="20"/>
  <c r="H43" i="20"/>
  <c r="G43" i="20"/>
  <c r="H35" i="23"/>
  <c r="F39" i="4"/>
  <c r="H39" i="4" s="1"/>
  <c r="B39" i="4"/>
  <c r="D36" i="27"/>
  <c r="E36" i="27"/>
  <c r="D31" i="37"/>
  <c r="E31" i="37"/>
  <c r="F38" i="19"/>
  <c r="H38" i="19" s="1"/>
  <c r="B38" i="19"/>
  <c r="D35" i="26"/>
  <c r="E35" i="26"/>
  <c r="G32" i="29"/>
  <c r="D32" i="35"/>
  <c r="E32" i="35"/>
  <c r="G35" i="27"/>
  <c r="I35" i="27" s="1"/>
  <c r="H29" i="38"/>
  <c r="G31" i="31"/>
  <c r="I31" i="31" s="1"/>
  <c r="G33" i="25"/>
  <c r="I33" i="25" s="1"/>
  <c r="G35" i="23"/>
  <c r="B118" i="28"/>
  <c r="D115" i="20"/>
  <c r="G114" i="20"/>
  <c r="J113" i="20"/>
  <c r="G126" i="42" l="1"/>
  <c r="D127" i="42"/>
  <c r="E127" i="42" s="1"/>
  <c r="D44" i="42"/>
  <c r="H49" i="28"/>
  <c r="G49" i="28"/>
  <c r="E50" i="28"/>
  <c r="F50" i="28" s="1"/>
  <c r="I29" i="38"/>
  <c r="H36" i="24"/>
  <c r="I36" i="24" s="1"/>
  <c r="D37" i="24"/>
  <c r="E37" i="24"/>
  <c r="J113" i="13"/>
  <c r="D115" i="13"/>
  <c r="G114" i="13"/>
  <c r="G36" i="21"/>
  <c r="I36" i="21" s="1"/>
  <c r="G39" i="4"/>
  <c r="I39" i="4" s="1"/>
  <c r="H38" i="18"/>
  <c r="I38" i="18" s="1"/>
  <c r="G40" i="3"/>
  <c r="I40" i="3" s="1"/>
  <c r="F36" i="27"/>
  <c r="H36" i="27" s="1"/>
  <c r="B36" i="27"/>
  <c r="F33" i="29"/>
  <c r="G33" i="29" s="1"/>
  <c r="B45" i="20"/>
  <c r="H44" i="20"/>
  <c r="E45" i="20"/>
  <c r="F45" i="20" s="1"/>
  <c r="G44" i="20"/>
  <c r="F32" i="34"/>
  <c r="G32" i="34" s="1"/>
  <c r="B32" i="34"/>
  <c r="B35" i="26"/>
  <c r="F35" i="26"/>
  <c r="G35" i="26" s="1"/>
  <c r="B34" i="25"/>
  <c r="F34" i="25"/>
  <c r="H34" i="25" s="1"/>
  <c r="B36" i="23"/>
  <c r="F36" i="23"/>
  <c r="H36" i="23" s="1"/>
  <c r="G38" i="19"/>
  <c r="I38" i="19" s="1"/>
  <c r="D39" i="18"/>
  <c r="E39" i="18"/>
  <c r="F31" i="37"/>
  <c r="H31" i="37" s="1"/>
  <c r="B31" i="37"/>
  <c r="D40" i="4"/>
  <c r="E40" i="4"/>
  <c r="D41" i="3"/>
  <c r="E41" i="3"/>
  <c r="D36" i="22"/>
  <c r="E36" i="22"/>
  <c r="B32" i="31"/>
  <c r="F32" i="31"/>
  <c r="H32" i="31" s="1"/>
  <c r="I33" i="13"/>
  <c r="I35" i="23"/>
  <c r="F30" i="38"/>
  <c r="H30" i="38" s="1"/>
  <c r="B30" i="38"/>
  <c r="B34" i="13"/>
  <c r="F34" i="13"/>
  <c r="H34" i="13" s="1"/>
  <c r="D39" i="19"/>
  <c r="E39" i="19"/>
  <c r="B36" i="28"/>
  <c r="H35" i="22"/>
  <c r="I35" i="22" s="1"/>
  <c r="I32" i="29"/>
  <c r="F32" i="35"/>
  <c r="H32" i="35" s="1"/>
  <c r="B32" i="35"/>
  <c r="I43" i="20"/>
  <c r="D37" i="21"/>
  <c r="E37" i="21"/>
  <c r="J117" i="28"/>
  <c r="B115" i="20"/>
  <c r="H114" i="20"/>
  <c r="I114" i="20"/>
  <c r="E115" i="20"/>
  <c r="F115" i="20" s="1"/>
  <c r="F127" i="42" l="1"/>
  <c r="B127" i="42"/>
  <c r="B44" i="42"/>
  <c r="E44" i="42"/>
  <c r="F44" i="42" s="1"/>
  <c r="H50" i="28"/>
  <c r="G50" i="28"/>
  <c r="E51" i="28"/>
  <c r="F51" i="28" s="1"/>
  <c r="B37" i="24"/>
  <c r="F37" i="24"/>
  <c r="G37" i="24" s="1"/>
  <c r="H114" i="13"/>
  <c r="I114" i="13"/>
  <c r="E115" i="13"/>
  <c r="F115" i="13" s="1"/>
  <c r="B115" i="13"/>
  <c r="G36" i="27"/>
  <c r="I36" i="27" s="1"/>
  <c r="G32" i="31"/>
  <c r="I32" i="31" s="1"/>
  <c r="G30" i="38"/>
  <c r="I30" i="38" s="1"/>
  <c r="H32" i="34"/>
  <c r="I32" i="34" s="1"/>
  <c r="G34" i="13"/>
  <c r="I34" i="13" s="1"/>
  <c r="G31" i="37"/>
  <c r="I31" i="37" s="1"/>
  <c r="F37" i="21"/>
  <c r="G37" i="21" s="1"/>
  <c r="B37" i="21"/>
  <c r="G34" i="25"/>
  <c r="I34" i="25" s="1"/>
  <c r="D33" i="34"/>
  <c r="E33" i="34"/>
  <c r="D35" i="13"/>
  <c r="E37" i="23"/>
  <c r="D37" i="23"/>
  <c r="G32" i="35"/>
  <c r="I32" i="35" s="1"/>
  <c r="B36" i="22"/>
  <c r="F36" i="22"/>
  <c r="D32" i="37"/>
  <c r="E32" i="37"/>
  <c r="D36" i="26"/>
  <c r="E36" i="26"/>
  <c r="E46" i="20"/>
  <c r="F46" i="20" s="1"/>
  <c r="G45" i="20"/>
  <c r="H45" i="20"/>
  <c r="B46" i="20"/>
  <c r="G36" i="23"/>
  <c r="I36" i="23" s="1"/>
  <c r="I44" i="20"/>
  <c r="D37" i="27"/>
  <c r="E37" i="27"/>
  <c r="I36" i="28"/>
  <c r="F41" i="3"/>
  <c r="B41" i="3"/>
  <c r="F39" i="18"/>
  <c r="H39" i="18" s="1"/>
  <c r="B39" i="18"/>
  <c r="H35" i="26"/>
  <c r="I35" i="26" s="1"/>
  <c r="D33" i="35"/>
  <c r="E33" i="35"/>
  <c r="D35" i="25"/>
  <c r="E35" i="25"/>
  <c r="D34" i="29"/>
  <c r="E34" i="29"/>
  <c r="B39" i="19"/>
  <c r="F39" i="19"/>
  <c r="H39" i="19" s="1"/>
  <c r="D31" i="38"/>
  <c r="E31" i="38"/>
  <c r="D33" i="31"/>
  <c r="E33" i="31"/>
  <c r="F40" i="4"/>
  <c r="H40" i="4" s="1"/>
  <c r="B40" i="4"/>
  <c r="H33" i="29"/>
  <c r="I33" i="29" s="1"/>
  <c r="B119" i="28"/>
  <c r="J114" i="20"/>
  <c r="G115" i="20"/>
  <c r="D116" i="20"/>
  <c r="E116" i="20" s="1"/>
  <c r="D45" i="42" l="1"/>
  <c r="E45" i="42" s="1"/>
  <c r="D128" i="42"/>
  <c r="E128" i="42" s="1"/>
  <c r="G127" i="42"/>
  <c r="H51" i="28"/>
  <c r="G51" i="28"/>
  <c r="E52" i="28"/>
  <c r="F52" i="28" s="1"/>
  <c r="H37" i="24"/>
  <c r="I37" i="24" s="1"/>
  <c r="E38" i="24"/>
  <c r="D38" i="24"/>
  <c r="H37" i="21"/>
  <c r="I37" i="21" s="1"/>
  <c r="J114" i="13"/>
  <c r="G115" i="13"/>
  <c r="D116" i="13"/>
  <c r="J118" i="28"/>
  <c r="I45" i="20"/>
  <c r="G39" i="18"/>
  <c r="I39" i="18" s="1"/>
  <c r="D42" i="3"/>
  <c r="E42" i="3"/>
  <c r="F33" i="34"/>
  <c r="G33" i="34" s="1"/>
  <c r="B33" i="34"/>
  <c r="B31" i="38"/>
  <c r="F31" i="38"/>
  <c r="G31" i="38" s="1"/>
  <c r="B32" i="37"/>
  <c r="F32" i="37"/>
  <c r="G32" i="37" s="1"/>
  <c r="B37" i="23"/>
  <c r="F37" i="23"/>
  <c r="H37" i="23" s="1"/>
  <c r="D37" i="22"/>
  <c r="E37" i="22"/>
  <c r="D40" i="19"/>
  <c r="E40" i="19"/>
  <c r="F34" i="29"/>
  <c r="H36" i="22"/>
  <c r="B35" i="13"/>
  <c r="D41" i="4"/>
  <c r="E41" i="4"/>
  <c r="D40" i="18"/>
  <c r="E40" i="18"/>
  <c r="G36" i="22"/>
  <c r="E35" i="13"/>
  <c r="F35" i="13" s="1"/>
  <c r="G40" i="4"/>
  <c r="I40" i="4" s="1"/>
  <c r="G39" i="19"/>
  <c r="I39" i="19" s="1"/>
  <c r="B35" i="25"/>
  <c r="F35" i="25"/>
  <c r="H35" i="25" s="1"/>
  <c r="B37" i="27"/>
  <c r="F37" i="27"/>
  <c r="H37" i="27" s="1"/>
  <c r="G46" i="20"/>
  <c r="B47" i="20"/>
  <c r="H46" i="20"/>
  <c r="E47" i="20"/>
  <c r="F47" i="20" s="1"/>
  <c r="D38" i="21"/>
  <c r="E38" i="21"/>
  <c r="H41" i="3"/>
  <c r="F33" i="31"/>
  <c r="H33" i="31" s="1"/>
  <c r="B33" i="31"/>
  <c r="F33" i="35"/>
  <c r="B33" i="35"/>
  <c r="G41" i="3"/>
  <c r="B36" i="26"/>
  <c r="F36" i="26"/>
  <c r="G36" i="26" s="1"/>
  <c r="B37" i="28"/>
  <c r="B116" i="20"/>
  <c r="F116" i="20"/>
  <c r="I115" i="20"/>
  <c r="H115" i="20"/>
  <c r="F128" i="42" l="1"/>
  <c r="B128" i="42"/>
  <c r="F45" i="42"/>
  <c r="B45" i="42"/>
  <c r="H52" i="28"/>
  <c r="G52" i="28"/>
  <c r="E53" i="28"/>
  <c r="F53" i="28" s="1"/>
  <c r="B120" i="28"/>
  <c r="I46" i="20"/>
  <c r="F38" i="24"/>
  <c r="G38" i="24" s="1"/>
  <c r="B38" i="24"/>
  <c r="E116" i="13"/>
  <c r="F116" i="13" s="1"/>
  <c r="B116" i="13"/>
  <c r="H115" i="13"/>
  <c r="I115" i="13"/>
  <c r="H31" i="38"/>
  <c r="I31" i="38" s="1"/>
  <c r="H33" i="34"/>
  <c r="I33" i="34" s="1"/>
  <c r="G33" i="31"/>
  <c r="I33" i="31" s="1"/>
  <c r="G37" i="27"/>
  <c r="I37" i="27" s="1"/>
  <c r="G35" i="25"/>
  <c r="I35" i="25" s="1"/>
  <c r="D36" i="13"/>
  <c r="E36" i="13" s="1"/>
  <c r="G35" i="13"/>
  <c r="H35" i="13"/>
  <c r="D34" i="35"/>
  <c r="E34" i="35"/>
  <c r="F40" i="19"/>
  <c r="H40" i="19" s="1"/>
  <c r="B40" i="19"/>
  <c r="D33" i="37"/>
  <c r="E33" i="37"/>
  <c r="D37" i="26"/>
  <c r="E37" i="26"/>
  <c r="B38" i="21"/>
  <c r="F38" i="21"/>
  <c r="G38" i="21" s="1"/>
  <c r="H47" i="20"/>
  <c r="E48" i="20"/>
  <c r="F48" i="20" s="1"/>
  <c r="G47" i="20"/>
  <c r="B48" i="20"/>
  <c r="B37" i="22"/>
  <c r="F37" i="22"/>
  <c r="H37" i="22" s="1"/>
  <c r="H32" i="37"/>
  <c r="I32" i="37" s="1"/>
  <c r="H36" i="26"/>
  <c r="I36" i="26" s="1"/>
  <c r="I36" i="22"/>
  <c r="D34" i="34"/>
  <c r="E34" i="34"/>
  <c r="D36" i="25"/>
  <c r="E36" i="25"/>
  <c r="B40" i="18"/>
  <c r="F40" i="18"/>
  <c r="D35" i="29"/>
  <c r="E35" i="29"/>
  <c r="G33" i="35"/>
  <c r="G34" i="29"/>
  <c r="D38" i="23"/>
  <c r="E38" i="23"/>
  <c r="B42" i="3"/>
  <c r="F42" i="3"/>
  <c r="G42" i="3" s="1"/>
  <c r="H33" i="35"/>
  <c r="D34" i="31"/>
  <c r="E34" i="31"/>
  <c r="B41" i="4"/>
  <c r="F41" i="4"/>
  <c r="H34" i="29"/>
  <c r="D32" i="38"/>
  <c r="E32" i="38"/>
  <c r="I37" i="28"/>
  <c r="I41" i="3"/>
  <c r="D38" i="27"/>
  <c r="E38" i="27"/>
  <c r="G37" i="23"/>
  <c r="I37" i="23" s="1"/>
  <c r="J115" i="20"/>
  <c r="G116" i="20"/>
  <c r="D117" i="20"/>
  <c r="D46" i="42" l="1"/>
  <c r="E46" i="42" s="1"/>
  <c r="G128" i="42"/>
  <c r="D129" i="42"/>
  <c r="H53" i="28"/>
  <c r="G53" i="28"/>
  <c r="E54" i="28"/>
  <c r="F54" i="28" s="1"/>
  <c r="H38" i="24"/>
  <c r="I38" i="24" s="1"/>
  <c r="H38" i="21"/>
  <c r="I38" i="21" s="1"/>
  <c r="D39" i="24"/>
  <c r="E39" i="24"/>
  <c r="I34" i="29"/>
  <c r="G37" i="22"/>
  <c r="I37" i="22" s="1"/>
  <c r="D117" i="13"/>
  <c r="G116" i="13"/>
  <c r="J119" i="28"/>
  <c r="J115" i="13"/>
  <c r="I33" i="35"/>
  <c r="I35" i="13"/>
  <c r="I47" i="20"/>
  <c r="G40" i="19"/>
  <c r="I40" i="19" s="1"/>
  <c r="D41" i="18"/>
  <c r="E41" i="18"/>
  <c r="B49" i="20"/>
  <c r="H48" i="20"/>
  <c r="G48" i="20"/>
  <c r="E49" i="20"/>
  <c r="F49" i="20" s="1"/>
  <c r="D42" i="4"/>
  <c r="E42" i="4"/>
  <c r="H41" i="4"/>
  <c r="D43" i="3"/>
  <c r="E43" i="3"/>
  <c r="B38" i="28"/>
  <c r="B38" i="27"/>
  <c r="F38" i="27"/>
  <c r="G41" i="4"/>
  <c r="H42" i="3"/>
  <c r="I42" i="3" s="1"/>
  <c r="B36" i="25"/>
  <c r="F36" i="25"/>
  <c r="G36" i="25" s="1"/>
  <c r="B37" i="26"/>
  <c r="F37" i="26"/>
  <c r="G37" i="26" s="1"/>
  <c r="B34" i="35"/>
  <c r="F34" i="35"/>
  <c r="D38" i="22"/>
  <c r="E38" i="22"/>
  <c r="D39" i="21"/>
  <c r="E39" i="21"/>
  <c r="F35" i="29"/>
  <c r="H35" i="29" s="1"/>
  <c r="F33" i="37"/>
  <c r="G33" i="37" s="1"/>
  <c r="B33" i="37"/>
  <c r="F38" i="23"/>
  <c r="B38" i="23"/>
  <c r="H40" i="18"/>
  <c r="B34" i="34"/>
  <c r="F34" i="34"/>
  <c r="G34" i="34" s="1"/>
  <c r="F32" i="38"/>
  <c r="B32" i="38"/>
  <c r="B34" i="31"/>
  <c r="F34" i="31"/>
  <c r="G40" i="18"/>
  <c r="D41" i="19"/>
  <c r="E41" i="19"/>
  <c r="F36" i="13"/>
  <c r="H36" i="13" s="1"/>
  <c r="B36" i="13"/>
  <c r="B117" i="20"/>
  <c r="I116" i="20"/>
  <c r="H116" i="20"/>
  <c r="E117" i="20"/>
  <c r="F117" i="20" s="1"/>
  <c r="B129" i="42" l="1"/>
  <c r="E129" i="42"/>
  <c r="F129" i="42" s="1"/>
  <c r="F46" i="42"/>
  <c r="B46" i="42"/>
  <c r="H54" i="28"/>
  <c r="G54" i="28"/>
  <c r="E55" i="28"/>
  <c r="F55" i="28" s="1"/>
  <c r="B121" i="28"/>
  <c r="F39" i="24"/>
  <c r="G39" i="24" s="1"/>
  <c r="B39" i="24"/>
  <c r="I116" i="13"/>
  <c r="H116" i="13"/>
  <c r="E117" i="13"/>
  <c r="F117" i="13" s="1"/>
  <c r="B117" i="13"/>
  <c r="G35" i="29"/>
  <c r="I35" i="29" s="1"/>
  <c r="H33" i="37"/>
  <c r="I33" i="37" s="1"/>
  <c r="I40" i="18"/>
  <c r="H36" i="25"/>
  <c r="I36" i="25" s="1"/>
  <c r="D35" i="31"/>
  <c r="E35" i="31"/>
  <c r="D35" i="34"/>
  <c r="E35" i="34"/>
  <c r="D39" i="23"/>
  <c r="E39" i="23"/>
  <c r="B39" i="21"/>
  <c r="F39" i="21"/>
  <c r="G39" i="21" s="1"/>
  <c r="D38" i="26"/>
  <c r="E38" i="26"/>
  <c r="F42" i="4"/>
  <c r="G42" i="4" s="1"/>
  <c r="B42" i="4"/>
  <c r="J120" i="28"/>
  <c r="D37" i="13"/>
  <c r="E37" i="13" s="1"/>
  <c r="G34" i="31"/>
  <c r="H49" i="20"/>
  <c r="G49" i="20"/>
  <c r="E50" i="20"/>
  <c r="F50" i="20" s="1"/>
  <c r="B50" i="20"/>
  <c r="H34" i="34"/>
  <c r="I34" i="34" s="1"/>
  <c r="B38" i="22"/>
  <c r="F38" i="22"/>
  <c r="H37" i="26"/>
  <c r="I37" i="26" s="1"/>
  <c r="D39" i="27"/>
  <c r="E39" i="27"/>
  <c r="B41" i="19"/>
  <c r="F41" i="19"/>
  <c r="D33" i="38"/>
  <c r="E33" i="38"/>
  <c r="D34" i="37"/>
  <c r="E34" i="37"/>
  <c r="D35" i="35"/>
  <c r="E35" i="35"/>
  <c r="H38" i="27"/>
  <c r="B43" i="3"/>
  <c r="F43" i="3"/>
  <c r="H43" i="3" s="1"/>
  <c r="I48" i="20"/>
  <c r="H32" i="38"/>
  <c r="G38" i="23"/>
  <c r="I41" i="4"/>
  <c r="G32" i="38"/>
  <c r="H38" i="23"/>
  <c r="D36" i="29"/>
  <c r="E36" i="29"/>
  <c r="G34" i="35"/>
  <c r="G38" i="27"/>
  <c r="G36" i="13"/>
  <c r="I36" i="13" s="1"/>
  <c r="H34" i="31"/>
  <c r="H34" i="35"/>
  <c r="D37" i="25"/>
  <c r="E37" i="25"/>
  <c r="F41" i="18"/>
  <c r="H41" i="18" s="1"/>
  <c r="B41" i="18"/>
  <c r="G117" i="20"/>
  <c r="D118" i="20"/>
  <c r="E118" i="20" s="1"/>
  <c r="J116" i="20"/>
  <c r="G129" i="42" l="1"/>
  <c r="D130" i="42"/>
  <c r="E130" i="42" s="1"/>
  <c r="D47" i="42"/>
  <c r="E47" i="42" s="1"/>
  <c r="H55" i="28"/>
  <c r="G55" i="28"/>
  <c r="E56" i="28"/>
  <c r="F56" i="28" s="1"/>
  <c r="B122" i="28"/>
  <c r="H39" i="24"/>
  <c r="I39" i="24" s="1"/>
  <c r="E40" i="24"/>
  <c r="D40" i="24"/>
  <c r="I34" i="31"/>
  <c r="G117" i="13"/>
  <c r="D118" i="13"/>
  <c r="B118" i="13" s="1"/>
  <c r="J116" i="13"/>
  <c r="I38" i="27"/>
  <c r="H42" i="4"/>
  <c r="I42" i="4" s="1"/>
  <c r="G43" i="3"/>
  <c r="I43" i="3" s="1"/>
  <c r="I32" i="38"/>
  <c r="D42" i="19"/>
  <c r="E42" i="19"/>
  <c r="D39" i="22"/>
  <c r="E39" i="22"/>
  <c r="I38" i="28"/>
  <c r="B39" i="28"/>
  <c r="H41" i="19"/>
  <c r="H38" i="22"/>
  <c r="B38" i="26"/>
  <c r="F38" i="26"/>
  <c r="B39" i="23"/>
  <c r="F39" i="23"/>
  <c r="G39" i="23" s="1"/>
  <c r="B35" i="35"/>
  <c r="F35" i="35"/>
  <c r="G35" i="35" s="1"/>
  <c r="G41" i="19"/>
  <c r="B37" i="13"/>
  <c r="F37" i="13"/>
  <c r="D40" i="21"/>
  <c r="E40" i="21"/>
  <c r="B35" i="34"/>
  <c r="F35" i="34"/>
  <c r="G35" i="34" s="1"/>
  <c r="D42" i="18"/>
  <c r="E42" i="18"/>
  <c r="F37" i="25"/>
  <c r="G37" i="25" s="1"/>
  <c r="B37" i="25"/>
  <c r="F36" i="29"/>
  <c r="G36" i="29" s="1"/>
  <c r="F34" i="37"/>
  <c r="H34" i="37" s="1"/>
  <c r="B34" i="37"/>
  <c r="B39" i="27"/>
  <c r="F39" i="27"/>
  <c r="B51" i="20"/>
  <c r="H50" i="20"/>
  <c r="G50" i="20"/>
  <c r="E51" i="20"/>
  <c r="F51" i="20" s="1"/>
  <c r="G41" i="18"/>
  <c r="I41" i="18" s="1"/>
  <c r="I34" i="35"/>
  <c r="I38" i="23"/>
  <c r="H39" i="21"/>
  <c r="I39" i="21" s="1"/>
  <c r="B35" i="31"/>
  <c r="F35" i="31"/>
  <c r="D44" i="3"/>
  <c r="E44" i="3"/>
  <c r="B33" i="38"/>
  <c r="F33" i="38"/>
  <c r="G33" i="38" s="1"/>
  <c r="G38" i="22"/>
  <c r="I49" i="20"/>
  <c r="D43" i="4"/>
  <c r="E43" i="4"/>
  <c r="F118" i="20"/>
  <c r="B118" i="20"/>
  <c r="I117" i="20"/>
  <c r="H117" i="20"/>
  <c r="B130" i="42" l="1"/>
  <c r="F130" i="42"/>
  <c r="F47" i="42"/>
  <c r="B47" i="42"/>
  <c r="H56" i="28"/>
  <c r="G56" i="28"/>
  <c r="E57" i="28"/>
  <c r="F57" i="28" s="1"/>
  <c r="B40" i="24"/>
  <c r="F40" i="24"/>
  <c r="H40" i="24" s="1"/>
  <c r="E118" i="13"/>
  <c r="F118" i="13" s="1"/>
  <c r="G118" i="13" s="1"/>
  <c r="H118" i="13" s="1"/>
  <c r="H39" i="23"/>
  <c r="I39" i="23" s="1"/>
  <c r="I117" i="13"/>
  <c r="H117" i="13"/>
  <c r="G34" i="37"/>
  <c r="I34" i="37" s="1"/>
  <c r="H37" i="25"/>
  <c r="I37" i="25" s="1"/>
  <c r="H36" i="29"/>
  <c r="I36" i="29" s="1"/>
  <c r="F43" i="4"/>
  <c r="H43" i="4" s="1"/>
  <c r="B43" i="4"/>
  <c r="B44" i="3"/>
  <c r="F44" i="3"/>
  <c r="D38" i="13"/>
  <c r="E38" i="13" s="1"/>
  <c r="D39" i="26"/>
  <c r="E39" i="26"/>
  <c r="D40" i="27"/>
  <c r="E40" i="27"/>
  <c r="B42" i="18"/>
  <c r="F42" i="18"/>
  <c r="H37" i="13"/>
  <c r="D37" i="29"/>
  <c r="E37" i="29"/>
  <c r="D36" i="34"/>
  <c r="E36" i="34"/>
  <c r="G37" i="13"/>
  <c r="I38" i="22"/>
  <c r="D36" i="31"/>
  <c r="E36" i="31"/>
  <c r="H39" i="27"/>
  <c r="I41" i="19"/>
  <c r="D34" i="38"/>
  <c r="E34" i="38"/>
  <c r="G39" i="27"/>
  <c r="D40" i="23"/>
  <c r="E40" i="23"/>
  <c r="H35" i="31"/>
  <c r="H51" i="20"/>
  <c r="G51" i="20"/>
  <c r="E52" i="20"/>
  <c r="F52" i="20" s="1"/>
  <c r="B52" i="20"/>
  <c r="H35" i="34"/>
  <c r="I35" i="34" s="1"/>
  <c r="D36" i="35"/>
  <c r="E36" i="35"/>
  <c r="B39" i="22"/>
  <c r="F39" i="22"/>
  <c r="G39" i="22" s="1"/>
  <c r="H33" i="38"/>
  <c r="I33" i="38" s="1"/>
  <c r="G35" i="31"/>
  <c r="H38" i="26"/>
  <c r="I50" i="20"/>
  <c r="D35" i="37"/>
  <c r="E35" i="37"/>
  <c r="D38" i="25"/>
  <c r="E38" i="25"/>
  <c r="F40" i="21"/>
  <c r="B40" i="21"/>
  <c r="H35" i="35"/>
  <c r="I35" i="35" s="1"/>
  <c r="G38" i="26"/>
  <c r="I39" i="28"/>
  <c r="F42" i="19"/>
  <c r="G42" i="19" s="1"/>
  <c r="B42" i="19"/>
  <c r="J121" i="28"/>
  <c r="J117" i="20"/>
  <c r="G118" i="20"/>
  <c r="D119" i="20"/>
  <c r="E119" i="20" s="1"/>
  <c r="G130" i="42" l="1"/>
  <c r="D131" i="42"/>
  <c r="E131" i="42" s="1"/>
  <c r="D48" i="42"/>
  <c r="H57" i="28"/>
  <c r="G57" i="28"/>
  <c r="E58" i="28"/>
  <c r="F58" i="28" s="1"/>
  <c r="G40" i="24"/>
  <c r="I40" i="24" s="1"/>
  <c r="D41" i="24"/>
  <c r="E41" i="24"/>
  <c r="I118" i="13"/>
  <c r="J118" i="13" s="1"/>
  <c r="D119" i="13"/>
  <c r="J117" i="13"/>
  <c r="G43" i="4"/>
  <c r="I43" i="4" s="1"/>
  <c r="H39" i="22"/>
  <c r="I39" i="22" s="1"/>
  <c r="I39" i="27"/>
  <c r="D41" i="21"/>
  <c r="E41" i="21"/>
  <c r="B36" i="35"/>
  <c r="F36" i="35"/>
  <c r="G36" i="35" s="1"/>
  <c r="D43" i="18"/>
  <c r="E43" i="18"/>
  <c r="D45" i="3"/>
  <c r="E45" i="3"/>
  <c r="D43" i="19"/>
  <c r="E43" i="19"/>
  <c r="H44" i="3"/>
  <c r="B38" i="25"/>
  <c r="F38" i="25"/>
  <c r="G38" i="25" s="1"/>
  <c r="F36" i="34"/>
  <c r="H36" i="34" s="1"/>
  <c r="B36" i="34"/>
  <c r="G44" i="3"/>
  <c r="E53" i="20"/>
  <c r="F53" i="20" s="1"/>
  <c r="G52" i="20"/>
  <c r="H52" i="20"/>
  <c r="B53" i="20"/>
  <c r="F40" i="27"/>
  <c r="H40" i="27" s="1"/>
  <c r="B40" i="27"/>
  <c r="B35" i="37"/>
  <c r="F35" i="37"/>
  <c r="H35" i="37" s="1"/>
  <c r="F40" i="23"/>
  <c r="B40" i="23"/>
  <c r="F36" i="31"/>
  <c r="H36" i="31" s="1"/>
  <c r="B36" i="31"/>
  <c r="F37" i="29"/>
  <c r="H37" i="29" s="1"/>
  <c r="D40" i="22"/>
  <c r="E40" i="22"/>
  <c r="I51" i="20"/>
  <c r="I37" i="13"/>
  <c r="F39" i="26"/>
  <c r="H39" i="26" s="1"/>
  <c r="B39" i="26"/>
  <c r="H40" i="21"/>
  <c r="I35" i="31"/>
  <c r="B40" i="28"/>
  <c r="G42" i="18"/>
  <c r="H42" i="19"/>
  <c r="I42" i="19" s="1"/>
  <c r="G40" i="21"/>
  <c r="I38" i="26"/>
  <c r="F34" i="38"/>
  <c r="G34" i="38" s="1"/>
  <c r="B34" i="38"/>
  <c r="H42" i="18"/>
  <c r="F38" i="13"/>
  <c r="H38" i="13" s="1"/>
  <c r="B38" i="13"/>
  <c r="D44" i="4"/>
  <c r="E44" i="4"/>
  <c r="B123" i="28"/>
  <c r="B119" i="20"/>
  <c r="F119" i="20"/>
  <c r="H118" i="20"/>
  <c r="I118" i="20"/>
  <c r="B48" i="42" l="1"/>
  <c r="F131" i="42"/>
  <c r="B131" i="42"/>
  <c r="E48" i="42"/>
  <c r="F48" i="42" s="1"/>
  <c r="H58" i="28"/>
  <c r="G58" i="28"/>
  <c r="E59" i="28"/>
  <c r="F59" i="28" s="1"/>
  <c r="H36" i="35"/>
  <c r="I36" i="35" s="1"/>
  <c r="I42" i="18"/>
  <c r="F41" i="24"/>
  <c r="H41" i="24" s="1"/>
  <c r="B41" i="24"/>
  <c r="E119" i="13"/>
  <c r="F119" i="13" s="1"/>
  <c r="B119" i="13"/>
  <c r="G37" i="29"/>
  <c r="I37" i="29" s="1"/>
  <c r="G36" i="34"/>
  <c r="I36" i="34" s="1"/>
  <c r="G39" i="26"/>
  <c r="I39" i="26" s="1"/>
  <c r="H34" i="38"/>
  <c r="I34" i="38" s="1"/>
  <c r="G35" i="37"/>
  <c r="I35" i="37" s="1"/>
  <c r="G40" i="27"/>
  <c r="I40" i="27" s="1"/>
  <c r="D39" i="13"/>
  <c r="D37" i="31"/>
  <c r="E37" i="31"/>
  <c r="B54" i="20"/>
  <c r="G53" i="20"/>
  <c r="H53" i="20"/>
  <c r="E54" i="20"/>
  <c r="F54" i="20" s="1"/>
  <c r="D39" i="25"/>
  <c r="E39" i="25"/>
  <c r="B43" i="18"/>
  <c r="F43" i="18"/>
  <c r="H43" i="18" s="1"/>
  <c r="I40" i="21"/>
  <c r="B40" i="22"/>
  <c r="F40" i="22"/>
  <c r="D41" i="23"/>
  <c r="E41" i="23"/>
  <c r="I44" i="3"/>
  <c r="G40" i="23"/>
  <c r="D37" i="35"/>
  <c r="E37" i="35"/>
  <c r="B44" i="4"/>
  <c r="F44" i="4"/>
  <c r="H44" i="4" s="1"/>
  <c r="D38" i="29"/>
  <c r="E38" i="29"/>
  <c r="H40" i="23"/>
  <c r="D41" i="27"/>
  <c r="E41" i="27"/>
  <c r="F43" i="19"/>
  <c r="H43" i="19" s="1"/>
  <c r="B43" i="19"/>
  <c r="G38" i="13"/>
  <c r="I38" i="13" s="1"/>
  <c r="D35" i="38"/>
  <c r="E35" i="38"/>
  <c r="D40" i="26"/>
  <c r="E40" i="26"/>
  <c r="D36" i="37"/>
  <c r="E36" i="37"/>
  <c r="D37" i="34"/>
  <c r="E37" i="34"/>
  <c r="G36" i="31"/>
  <c r="I36" i="31" s="1"/>
  <c r="I52" i="20"/>
  <c r="H38" i="25"/>
  <c r="I38" i="25" s="1"/>
  <c r="F45" i="3"/>
  <c r="H45" i="3" s="1"/>
  <c r="B45" i="3"/>
  <c r="F41" i="21"/>
  <c r="G41" i="21" s="1"/>
  <c r="B41" i="21"/>
  <c r="J122" i="28"/>
  <c r="J118" i="20"/>
  <c r="D120" i="20"/>
  <c r="E120" i="20" s="1"/>
  <c r="G119" i="20"/>
  <c r="D49" i="42" l="1"/>
  <c r="E49" i="42" s="1"/>
  <c r="D132" i="42"/>
  <c r="E132" i="42" s="1"/>
  <c r="G131" i="42"/>
  <c r="H59" i="28"/>
  <c r="G59" i="28"/>
  <c r="E60" i="28"/>
  <c r="F60" i="28" s="1"/>
  <c r="I53" i="20"/>
  <c r="G41" i="24"/>
  <c r="I41" i="24" s="1"/>
  <c r="E42" i="24"/>
  <c r="D42" i="24"/>
  <c r="D120" i="13"/>
  <c r="G119" i="13"/>
  <c r="H41" i="21"/>
  <c r="I41" i="21" s="1"/>
  <c r="I40" i="23"/>
  <c r="G45" i="3"/>
  <c r="I45" i="3" s="1"/>
  <c r="G43" i="18"/>
  <c r="I43" i="18" s="1"/>
  <c r="F41" i="27"/>
  <c r="G41" i="27" s="1"/>
  <c r="B41" i="27"/>
  <c r="F41" i="23"/>
  <c r="B41" i="23"/>
  <c r="B35" i="38"/>
  <c r="F35" i="38"/>
  <c r="G35" i="38" s="1"/>
  <c r="D41" i="22"/>
  <c r="E41" i="22"/>
  <c r="B37" i="31"/>
  <c r="F37" i="31"/>
  <c r="H37" i="31" s="1"/>
  <c r="B37" i="34"/>
  <c r="F37" i="34"/>
  <c r="G37" i="34" s="1"/>
  <c r="F37" i="35"/>
  <c r="G37" i="35" s="1"/>
  <c r="B37" i="35"/>
  <c r="F38" i="29"/>
  <c r="G38" i="29" s="1"/>
  <c r="G40" i="22"/>
  <c r="B39" i="25"/>
  <c r="F39" i="25"/>
  <c r="D42" i="21"/>
  <c r="E42" i="21" s="1"/>
  <c r="B36" i="37"/>
  <c r="F36" i="37"/>
  <c r="H36" i="37" s="1"/>
  <c r="H40" i="22"/>
  <c r="B55" i="20"/>
  <c r="G54" i="20"/>
  <c r="E55" i="20"/>
  <c r="F55" i="20" s="1"/>
  <c r="H54" i="20"/>
  <c r="B41" i="28"/>
  <c r="D44" i="19"/>
  <c r="E44" i="19"/>
  <c r="D45" i="4"/>
  <c r="E45" i="4"/>
  <c r="B39" i="13"/>
  <c r="F40" i="26"/>
  <c r="G40" i="26" s="1"/>
  <c r="B40" i="26"/>
  <c r="G43" i="19"/>
  <c r="I43" i="19" s="1"/>
  <c r="G44" i="4"/>
  <c r="I44" i="4" s="1"/>
  <c r="E39" i="13"/>
  <c r="F39" i="13" s="1"/>
  <c r="D46" i="3"/>
  <c r="E46" i="3"/>
  <c r="I40" i="28"/>
  <c r="D44" i="18"/>
  <c r="E44" i="18"/>
  <c r="B124" i="28"/>
  <c r="H119" i="20"/>
  <c r="I119" i="20"/>
  <c r="F120" i="20"/>
  <c r="B120" i="20"/>
  <c r="F132" i="42" l="1"/>
  <c r="B132" i="42"/>
  <c r="B49" i="42"/>
  <c r="F49" i="42"/>
  <c r="H60" i="28"/>
  <c r="G60" i="28"/>
  <c r="E61" i="28"/>
  <c r="F61" i="28" s="1"/>
  <c r="I40" i="22"/>
  <c r="F42" i="24"/>
  <c r="G42" i="24" s="1"/>
  <c r="B42" i="24"/>
  <c r="H119" i="13"/>
  <c r="I119" i="13"/>
  <c r="E120" i="13"/>
  <c r="F120" i="13" s="1"/>
  <c r="B120" i="13"/>
  <c r="H37" i="35"/>
  <c r="I37" i="35" s="1"/>
  <c r="H40" i="26"/>
  <c r="I40" i="26" s="1"/>
  <c r="H41" i="27"/>
  <c r="I41" i="27" s="1"/>
  <c r="D40" i="13"/>
  <c r="E40" i="13" s="1"/>
  <c r="G39" i="13"/>
  <c r="H39" i="13"/>
  <c r="B56" i="20"/>
  <c r="G55" i="20"/>
  <c r="E56" i="20"/>
  <c r="F56" i="20" s="1"/>
  <c r="H55" i="20"/>
  <c r="H38" i="29"/>
  <c r="I38" i="29" s="1"/>
  <c r="F41" i="22"/>
  <c r="G41" i="22" s="1"/>
  <c r="B41" i="22"/>
  <c r="D42" i="23"/>
  <c r="E42" i="23"/>
  <c r="F44" i="19"/>
  <c r="H44" i="19" s="1"/>
  <c r="B44" i="19"/>
  <c r="D38" i="34"/>
  <c r="E38" i="34"/>
  <c r="B42" i="21"/>
  <c r="F42" i="21"/>
  <c r="G42" i="21" s="1"/>
  <c r="D36" i="38"/>
  <c r="E36" i="38"/>
  <c r="D39" i="29"/>
  <c r="E39" i="29"/>
  <c r="B44" i="18"/>
  <c r="F44" i="18"/>
  <c r="H44" i="18" s="1"/>
  <c r="D40" i="25"/>
  <c r="E40" i="25"/>
  <c r="H39" i="25"/>
  <c r="D38" i="31"/>
  <c r="E38" i="31"/>
  <c r="H35" i="38"/>
  <c r="I35" i="38" s="1"/>
  <c r="D37" i="37"/>
  <c r="E37" i="37"/>
  <c r="G37" i="31"/>
  <c r="I37" i="31" s="1"/>
  <c r="G41" i="23"/>
  <c r="D42" i="27"/>
  <c r="E42" i="27"/>
  <c r="J119" i="20"/>
  <c r="D41" i="26"/>
  <c r="E41" i="26"/>
  <c r="G36" i="37"/>
  <c r="I36" i="37" s="1"/>
  <c r="G39" i="25"/>
  <c r="D38" i="35"/>
  <c r="E38" i="35"/>
  <c r="H41" i="23"/>
  <c r="F46" i="3"/>
  <c r="H46" i="3" s="1"/>
  <c r="B46" i="3"/>
  <c r="F45" i="4"/>
  <c r="G45" i="4" s="1"/>
  <c r="B45" i="4"/>
  <c r="I54" i="20"/>
  <c r="H37" i="34"/>
  <c r="I37" i="34" s="1"/>
  <c r="J123" i="28"/>
  <c r="G120" i="20"/>
  <c r="D121" i="20"/>
  <c r="D50" i="42" l="1"/>
  <c r="E50" i="42" s="1"/>
  <c r="D133" i="42"/>
  <c r="G132" i="42"/>
  <c r="H61" i="28"/>
  <c r="G61" i="28"/>
  <c r="E62" i="28"/>
  <c r="F62" i="28" s="1"/>
  <c r="J119" i="13"/>
  <c r="H42" i="24"/>
  <c r="I42" i="24" s="1"/>
  <c r="E43" i="24"/>
  <c r="D43" i="24"/>
  <c r="D121" i="13"/>
  <c r="G120" i="13"/>
  <c r="I55" i="20"/>
  <c r="I39" i="13"/>
  <c r="H41" i="22"/>
  <c r="I41" i="22" s="1"/>
  <c r="H45" i="4"/>
  <c r="I45" i="4" s="1"/>
  <c r="G44" i="18"/>
  <c r="I44" i="18" s="1"/>
  <c r="H42" i="21"/>
  <c r="I42" i="21" s="1"/>
  <c r="G44" i="19"/>
  <c r="I44" i="19" s="1"/>
  <c r="I41" i="28"/>
  <c r="I41" i="23"/>
  <c r="D47" i="3"/>
  <c r="E47" i="3"/>
  <c r="B37" i="37"/>
  <c r="F37" i="37"/>
  <c r="G37" i="37" s="1"/>
  <c r="B41" i="26"/>
  <c r="F41" i="26"/>
  <c r="H41" i="26" s="1"/>
  <c r="F42" i="23"/>
  <c r="H42" i="23" s="1"/>
  <c r="B42" i="23"/>
  <c r="G56" i="20"/>
  <c r="B57" i="20"/>
  <c r="E57" i="20"/>
  <c r="F57" i="20" s="1"/>
  <c r="H56" i="20"/>
  <c r="F40" i="25"/>
  <c r="G40" i="25" s="1"/>
  <c r="B40" i="25"/>
  <c r="F39" i="29"/>
  <c r="H39" i="29" s="1"/>
  <c r="B38" i="34"/>
  <c r="F38" i="34"/>
  <c r="H38" i="34" s="1"/>
  <c r="B38" i="35"/>
  <c r="F38" i="35"/>
  <c r="G38" i="35" s="1"/>
  <c r="B42" i="27"/>
  <c r="F42" i="27"/>
  <c r="D46" i="4"/>
  <c r="E46" i="4"/>
  <c r="B42" i="28"/>
  <c r="B36" i="38"/>
  <c r="F36" i="38"/>
  <c r="H36" i="38" s="1"/>
  <c r="D42" i="22"/>
  <c r="E42" i="22"/>
  <c r="G46" i="3"/>
  <c r="I46" i="3" s="1"/>
  <c r="B38" i="31"/>
  <c r="F38" i="31"/>
  <c r="G38" i="31" s="1"/>
  <c r="I39" i="25"/>
  <c r="D45" i="18"/>
  <c r="E45" i="18"/>
  <c r="D43" i="21"/>
  <c r="E43" i="21"/>
  <c r="D45" i="19"/>
  <c r="E45" i="19"/>
  <c r="B40" i="13"/>
  <c r="F40" i="13"/>
  <c r="G40" i="13" s="1"/>
  <c r="B125" i="28"/>
  <c r="B121" i="20"/>
  <c r="I120" i="20"/>
  <c r="H120" i="20"/>
  <c r="E121" i="20"/>
  <c r="F121" i="20" s="1"/>
  <c r="B133" i="42" l="1"/>
  <c r="E133" i="42"/>
  <c r="F133" i="42" s="1"/>
  <c r="F50" i="42"/>
  <c r="B50" i="42"/>
  <c r="H62" i="28"/>
  <c r="G62" i="28"/>
  <c r="E63" i="28"/>
  <c r="F63" i="28" s="1"/>
  <c r="B43" i="24"/>
  <c r="F43" i="24"/>
  <c r="H43" i="24" s="1"/>
  <c r="H120" i="13"/>
  <c r="I120" i="13"/>
  <c r="E121" i="13"/>
  <c r="F121" i="13" s="1"/>
  <c r="B121" i="13"/>
  <c r="G41" i="26"/>
  <c r="I41" i="26" s="1"/>
  <c r="I42" i="28"/>
  <c r="G38" i="34"/>
  <c r="I38" i="34" s="1"/>
  <c r="G39" i="29"/>
  <c r="I39" i="29" s="1"/>
  <c r="H38" i="31"/>
  <c r="I38" i="31" s="1"/>
  <c r="G36" i="38"/>
  <c r="I36" i="38" s="1"/>
  <c r="H40" i="13"/>
  <c r="I40" i="13" s="1"/>
  <c r="G42" i="23"/>
  <c r="I42" i="23" s="1"/>
  <c r="D43" i="27"/>
  <c r="E43" i="27"/>
  <c r="B42" i="22"/>
  <c r="F42" i="22"/>
  <c r="H42" i="27"/>
  <c r="D41" i="25"/>
  <c r="E41" i="25"/>
  <c r="F45" i="19"/>
  <c r="H45" i="19" s="1"/>
  <c r="B45" i="19"/>
  <c r="D39" i="34"/>
  <c r="E39" i="34"/>
  <c r="H40" i="25"/>
  <c r="I40" i="25" s="1"/>
  <c r="D38" i="37"/>
  <c r="E38" i="37"/>
  <c r="D39" i="35"/>
  <c r="E39" i="35"/>
  <c r="E43" i="23"/>
  <c r="D43" i="23"/>
  <c r="F43" i="21"/>
  <c r="B43" i="21"/>
  <c r="F46" i="4"/>
  <c r="H46" i="4" s="1"/>
  <c r="B46" i="4"/>
  <c r="H38" i="35"/>
  <c r="I38" i="35" s="1"/>
  <c r="I56" i="20"/>
  <c r="H37" i="37"/>
  <c r="I37" i="37" s="1"/>
  <c r="D39" i="31"/>
  <c r="E39" i="31"/>
  <c r="D37" i="38"/>
  <c r="E37" i="38"/>
  <c r="D40" i="29"/>
  <c r="E40" i="29"/>
  <c r="E58" i="20"/>
  <c r="F58" i="20" s="1"/>
  <c r="B58" i="20"/>
  <c r="H57" i="20"/>
  <c r="G57" i="20"/>
  <c r="D41" i="13"/>
  <c r="B45" i="18"/>
  <c r="F45" i="18"/>
  <c r="G45" i="18" s="1"/>
  <c r="G42" i="27"/>
  <c r="D42" i="26"/>
  <c r="E42" i="26"/>
  <c r="B47" i="3"/>
  <c r="F47" i="3"/>
  <c r="G47" i="3" s="1"/>
  <c r="J124" i="28"/>
  <c r="D122" i="20"/>
  <c r="E122" i="20" s="1"/>
  <c r="G121" i="20"/>
  <c r="J120" i="20"/>
  <c r="D134" i="42" l="1"/>
  <c r="E134" i="42" s="1"/>
  <c r="G133" i="42"/>
  <c r="D51" i="42"/>
  <c r="E51" i="42" s="1"/>
  <c r="H63" i="28"/>
  <c r="G63" i="28"/>
  <c r="E64" i="28"/>
  <c r="F64" i="28" s="1"/>
  <c r="G46" i="4"/>
  <c r="I46" i="4" s="1"/>
  <c r="J120" i="13"/>
  <c r="G43" i="24"/>
  <c r="I43" i="24" s="1"/>
  <c r="D44" i="24"/>
  <c r="E44" i="24"/>
  <c r="H45" i="18"/>
  <c r="I45" i="18" s="1"/>
  <c r="G121" i="13"/>
  <c r="D122" i="13"/>
  <c r="I57" i="20"/>
  <c r="H47" i="3"/>
  <c r="I47" i="3" s="1"/>
  <c r="G45" i="19"/>
  <c r="I45" i="19" s="1"/>
  <c r="D44" i="21"/>
  <c r="E44" i="21" s="1"/>
  <c r="B41" i="13"/>
  <c r="F40" i="29"/>
  <c r="G40" i="29" s="1"/>
  <c r="F43" i="23"/>
  <c r="H43" i="23" s="1"/>
  <c r="B43" i="23"/>
  <c r="F39" i="34"/>
  <c r="H39" i="34" s="1"/>
  <c r="B39" i="34"/>
  <c r="E41" i="13"/>
  <c r="F41" i="13" s="1"/>
  <c r="B41" i="25"/>
  <c r="F41" i="25"/>
  <c r="G41" i="25" s="1"/>
  <c r="B42" i="26"/>
  <c r="F42" i="26"/>
  <c r="F37" i="38"/>
  <c r="B37" i="38"/>
  <c r="B43" i="28"/>
  <c r="I42" i="27"/>
  <c r="D47" i="4"/>
  <c r="E47" i="4"/>
  <c r="F39" i="35"/>
  <c r="B39" i="35"/>
  <c r="D43" i="22"/>
  <c r="E43" i="22"/>
  <c r="B39" i="31"/>
  <c r="F39" i="31"/>
  <c r="G39" i="31" s="1"/>
  <c r="G43" i="21"/>
  <c r="D46" i="18"/>
  <c r="E46" i="18"/>
  <c r="H43" i="21"/>
  <c r="B38" i="37"/>
  <c r="F38" i="37"/>
  <c r="G38" i="37" s="1"/>
  <c r="H42" i="22"/>
  <c r="D48" i="3"/>
  <c r="E48" i="3"/>
  <c r="G58" i="20"/>
  <c r="H58" i="20"/>
  <c r="E59" i="20"/>
  <c r="F59" i="20" s="1"/>
  <c r="B59" i="20"/>
  <c r="D46" i="19"/>
  <c r="E46" i="19"/>
  <c r="G42" i="22"/>
  <c r="B43" i="27"/>
  <c r="F43" i="27"/>
  <c r="G43" i="27" s="1"/>
  <c r="B126" i="28"/>
  <c r="H121" i="20"/>
  <c r="I121" i="20"/>
  <c r="F122" i="20"/>
  <c r="B122" i="20"/>
  <c r="F51" i="42" l="1"/>
  <c r="B51" i="42"/>
  <c r="F134" i="42"/>
  <c r="B134" i="42"/>
  <c r="H64" i="28"/>
  <c r="G64" i="28"/>
  <c r="E65" i="28"/>
  <c r="F65" i="28" s="1"/>
  <c r="F44" i="24"/>
  <c r="G44" i="24" s="1"/>
  <c r="B44" i="24"/>
  <c r="E122" i="13"/>
  <c r="F122" i="13" s="1"/>
  <c r="B122" i="13"/>
  <c r="I121" i="13"/>
  <c r="H121" i="13"/>
  <c r="I43" i="28"/>
  <c r="I58" i="20"/>
  <c r="G39" i="34"/>
  <c r="I39" i="34" s="1"/>
  <c r="H41" i="25"/>
  <c r="I41" i="25" s="1"/>
  <c r="G43" i="23"/>
  <c r="I43" i="23" s="1"/>
  <c r="D42" i="13"/>
  <c r="H41" i="13"/>
  <c r="G41" i="13"/>
  <c r="B48" i="3"/>
  <c r="F48" i="3"/>
  <c r="B46" i="18"/>
  <c r="F46" i="18"/>
  <c r="B43" i="22"/>
  <c r="F43" i="22"/>
  <c r="H43" i="22" s="1"/>
  <c r="I42" i="22"/>
  <c r="D38" i="38"/>
  <c r="E38" i="38"/>
  <c r="B46" i="19"/>
  <c r="F46" i="19"/>
  <c r="H46" i="19" s="1"/>
  <c r="D40" i="35"/>
  <c r="E40" i="35"/>
  <c r="D43" i="26"/>
  <c r="E43" i="26"/>
  <c r="D39" i="37"/>
  <c r="E39" i="37"/>
  <c r="G39" i="35"/>
  <c r="H42" i="26"/>
  <c r="E44" i="23"/>
  <c r="D44" i="23"/>
  <c r="H59" i="20"/>
  <c r="E60" i="20"/>
  <c r="F60" i="20" s="1"/>
  <c r="B60" i="20"/>
  <c r="G59" i="20"/>
  <c r="D40" i="31"/>
  <c r="E40" i="31"/>
  <c r="H39" i="35"/>
  <c r="J125" i="28"/>
  <c r="D44" i="27"/>
  <c r="E44" i="27"/>
  <c r="H38" i="37"/>
  <c r="I38" i="37" s="1"/>
  <c r="G42" i="26"/>
  <c r="D41" i="29"/>
  <c r="E41" i="29"/>
  <c r="H43" i="27"/>
  <c r="I43" i="27" s="1"/>
  <c r="I43" i="21"/>
  <c r="H39" i="31"/>
  <c r="I39" i="31" s="1"/>
  <c r="B47" i="4"/>
  <c r="F47" i="4"/>
  <c r="G47" i="4" s="1"/>
  <c r="G37" i="38"/>
  <c r="D42" i="25"/>
  <c r="E42" i="25"/>
  <c r="H40" i="29"/>
  <c r="I40" i="29" s="1"/>
  <c r="H37" i="38"/>
  <c r="D40" i="34"/>
  <c r="E40" i="34"/>
  <c r="B44" i="21"/>
  <c r="F44" i="21"/>
  <c r="G44" i="21" s="1"/>
  <c r="D123" i="20"/>
  <c r="G122" i="20"/>
  <c r="J121" i="20"/>
  <c r="G134" i="42" l="1"/>
  <c r="D135" i="42"/>
  <c r="E135" i="42" s="1"/>
  <c r="D52" i="42"/>
  <c r="H65" i="28"/>
  <c r="G65" i="28"/>
  <c r="E66" i="28"/>
  <c r="F66" i="28" s="1"/>
  <c r="H44" i="24"/>
  <c r="I44" i="24" s="1"/>
  <c r="D45" i="24"/>
  <c r="E45" i="24"/>
  <c r="J121" i="13"/>
  <c r="D123" i="13"/>
  <c r="G122" i="13"/>
  <c r="H47" i="4"/>
  <c r="I47" i="4" s="1"/>
  <c r="D45" i="21"/>
  <c r="E45" i="21"/>
  <c r="B42" i="25"/>
  <c r="F42" i="25"/>
  <c r="I42" i="26"/>
  <c r="D44" i="22"/>
  <c r="E44" i="22"/>
  <c r="D49" i="3"/>
  <c r="E49" i="3"/>
  <c r="B40" i="31"/>
  <c r="F40" i="31"/>
  <c r="D47" i="19"/>
  <c r="E47" i="19"/>
  <c r="G43" i="22"/>
  <c r="I43" i="22" s="1"/>
  <c r="H48" i="3"/>
  <c r="B44" i="27"/>
  <c r="F44" i="27"/>
  <c r="H44" i="27" s="1"/>
  <c r="B39" i="37"/>
  <c r="F39" i="37"/>
  <c r="H39" i="37" s="1"/>
  <c r="G46" i="19"/>
  <c r="I46" i="19" s="1"/>
  <c r="G48" i="3"/>
  <c r="B40" i="34"/>
  <c r="F40" i="34"/>
  <c r="D48" i="4"/>
  <c r="E48" i="4"/>
  <c r="B61" i="20"/>
  <c r="H60" i="20"/>
  <c r="G60" i="20"/>
  <c r="E61" i="20"/>
  <c r="F61" i="20" s="1"/>
  <c r="D47" i="18"/>
  <c r="E47" i="18"/>
  <c r="I37" i="38"/>
  <c r="I59" i="20"/>
  <c r="F43" i="26"/>
  <c r="G43" i="26" s="1"/>
  <c r="B43" i="26"/>
  <c r="H46" i="18"/>
  <c r="I41" i="13"/>
  <c r="B44" i="28"/>
  <c r="B44" i="23"/>
  <c r="F44" i="23"/>
  <c r="H44" i="23" s="1"/>
  <c r="F38" i="38"/>
  <c r="G38" i="38" s="1"/>
  <c r="B38" i="38"/>
  <c r="G46" i="18"/>
  <c r="B42" i="13"/>
  <c r="H44" i="21"/>
  <c r="I44" i="21" s="1"/>
  <c r="F41" i="29"/>
  <c r="H41" i="29" s="1"/>
  <c r="I39" i="35"/>
  <c r="F40" i="35"/>
  <c r="H40" i="35" s="1"/>
  <c r="B40" i="35"/>
  <c r="E42" i="13"/>
  <c r="F42" i="13" s="1"/>
  <c r="B127" i="28"/>
  <c r="I122" i="20"/>
  <c r="H122" i="20"/>
  <c r="B123" i="20"/>
  <c r="E123" i="20"/>
  <c r="F123" i="20" s="1"/>
  <c r="B52" i="42" l="1"/>
  <c r="B135" i="42"/>
  <c r="F135" i="42"/>
  <c r="E52" i="42"/>
  <c r="F52" i="42" s="1"/>
  <c r="H66" i="28"/>
  <c r="G66" i="28"/>
  <c r="E67" i="28"/>
  <c r="F67" i="28" s="1"/>
  <c r="J126" i="28"/>
  <c r="B45" i="24"/>
  <c r="F45" i="24"/>
  <c r="G45" i="24" s="1"/>
  <c r="H122" i="13"/>
  <c r="I122" i="13"/>
  <c r="E123" i="13"/>
  <c r="F123" i="13" s="1"/>
  <c r="B123" i="13"/>
  <c r="G39" i="37"/>
  <c r="I39" i="37" s="1"/>
  <c r="G40" i="35"/>
  <c r="I40" i="35" s="1"/>
  <c r="H38" i="38"/>
  <c r="I38" i="38" s="1"/>
  <c r="H43" i="26"/>
  <c r="I43" i="26" s="1"/>
  <c r="I60" i="20"/>
  <c r="D43" i="13"/>
  <c r="G42" i="13"/>
  <c r="H42" i="13"/>
  <c r="E45" i="23"/>
  <c r="D45" i="23"/>
  <c r="D41" i="31"/>
  <c r="E41" i="31"/>
  <c r="F48" i="4"/>
  <c r="G48" i="4" s="1"/>
  <c r="B48" i="4"/>
  <c r="D43" i="25"/>
  <c r="E43" i="25"/>
  <c r="G44" i="23"/>
  <c r="I44" i="23" s="1"/>
  <c r="I46" i="18"/>
  <c r="D41" i="34"/>
  <c r="E41" i="34"/>
  <c r="D40" i="37"/>
  <c r="E40" i="37"/>
  <c r="H40" i="31"/>
  <c r="F47" i="18"/>
  <c r="G47" i="18" s="1"/>
  <c r="B47" i="18"/>
  <c r="G40" i="31"/>
  <c r="H42" i="25"/>
  <c r="D42" i="29"/>
  <c r="E42" i="29"/>
  <c r="I44" i="28"/>
  <c r="B62" i="20"/>
  <c r="G61" i="20"/>
  <c r="H61" i="20"/>
  <c r="E62" i="20"/>
  <c r="F62" i="20" s="1"/>
  <c r="H40" i="34"/>
  <c r="I48" i="3"/>
  <c r="G42" i="25"/>
  <c r="G41" i="29"/>
  <c r="I41" i="29" s="1"/>
  <c r="G40" i="34"/>
  <c r="D45" i="27"/>
  <c r="E45" i="27"/>
  <c r="B49" i="3"/>
  <c r="F49" i="3"/>
  <c r="D44" i="26"/>
  <c r="E44" i="26"/>
  <c r="F45" i="21"/>
  <c r="H45" i="21" s="1"/>
  <c r="B45" i="21"/>
  <c r="D41" i="35"/>
  <c r="E41" i="35"/>
  <c r="D39" i="38"/>
  <c r="E39" i="38"/>
  <c r="G44" i="27"/>
  <c r="I44" i="27" s="1"/>
  <c r="B47" i="19"/>
  <c r="F47" i="19"/>
  <c r="H47" i="19" s="1"/>
  <c r="B44" i="22"/>
  <c r="F44" i="22"/>
  <c r="G123" i="20"/>
  <c r="D124" i="20"/>
  <c r="E124" i="20" s="1"/>
  <c r="J122" i="20"/>
  <c r="D53" i="42" l="1"/>
  <c r="E53" i="42" s="1"/>
  <c r="D136" i="42"/>
  <c r="E136" i="42" s="1"/>
  <c r="G135" i="42"/>
  <c r="H67" i="28"/>
  <c r="G67" i="28"/>
  <c r="E68" i="28"/>
  <c r="F68" i="28" s="1"/>
  <c r="H47" i="18"/>
  <c r="I47" i="18" s="1"/>
  <c r="H45" i="24"/>
  <c r="I45" i="24" s="1"/>
  <c r="D46" i="24"/>
  <c r="E46" i="24"/>
  <c r="J122" i="13"/>
  <c r="D124" i="13"/>
  <c r="G123" i="13"/>
  <c r="I42" i="13"/>
  <c r="I61" i="20"/>
  <c r="G45" i="21"/>
  <c r="I45" i="21" s="1"/>
  <c r="I40" i="34"/>
  <c r="I40" i="31"/>
  <c r="B43" i="25"/>
  <c r="F43" i="25"/>
  <c r="G43" i="25" s="1"/>
  <c r="D48" i="19"/>
  <c r="E48" i="19"/>
  <c r="F41" i="35"/>
  <c r="B41" i="35"/>
  <c r="D50" i="3"/>
  <c r="E50" i="3" s="1"/>
  <c r="B45" i="23"/>
  <c r="F45" i="23"/>
  <c r="G45" i="23" s="1"/>
  <c r="G49" i="3"/>
  <c r="B40" i="37"/>
  <c r="F40" i="37"/>
  <c r="H40" i="37" s="1"/>
  <c r="D45" i="22"/>
  <c r="E45" i="22"/>
  <c r="H49" i="3"/>
  <c r="F42" i="29"/>
  <c r="D49" i="4"/>
  <c r="E49" i="4"/>
  <c r="G44" i="22"/>
  <c r="G62" i="20"/>
  <c r="H62" i="20"/>
  <c r="B63" i="20"/>
  <c r="E63" i="20"/>
  <c r="F63" i="20" s="1"/>
  <c r="I42" i="25"/>
  <c r="B41" i="34"/>
  <c r="F41" i="34"/>
  <c r="H41" i="34" s="1"/>
  <c r="H48" i="4"/>
  <c r="I48" i="4" s="1"/>
  <c r="H44" i="22"/>
  <c r="B45" i="28"/>
  <c r="D46" i="21"/>
  <c r="E46" i="21"/>
  <c r="D48" i="18"/>
  <c r="E48" i="18"/>
  <c r="B43" i="13"/>
  <c r="F45" i="27"/>
  <c r="B45" i="27"/>
  <c r="E43" i="13"/>
  <c r="F43" i="13" s="1"/>
  <c r="G47" i="19"/>
  <c r="I47" i="19" s="1"/>
  <c r="B39" i="38"/>
  <c r="F39" i="38"/>
  <c r="H39" i="38" s="1"/>
  <c r="B44" i="26"/>
  <c r="F44" i="26"/>
  <c r="G44" i="26" s="1"/>
  <c r="B41" i="31"/>
  <c r="F41" i="31"/>
  <c r="B128" i="28"/>
  <c r="B124" i="20"/>
  <c r="F124" i="20"/>
  <c r="H123" i="20"/>
  <c r="I123" i="20"/>
  <c r="F136" i="42" l="1"/>
  <c r="B136" i="42"/>
  <c r="F53" i="42"/>
  <c r="B53" i="42"/>
  <c r="H68" i="28"/>
  <c r="G68" i="28"/>
  <c r="E69" i="28"/>
  <c r="F69" i="28" s="1"/>
  <c r="B46" i="24"/>
  <c r="F46" i="24"/>
  <c r="H46" i="24" s="1"/>
  <c r="H123" i="13"/>
  <c r="I123" i="13"/>
  <c r="E124" i="13"/>
  <c r="F124" i="13" s="1"/>
  <c r="B124" i="13"/>
  <c r="I45" i="28"/>
  <c r="G41" i="34"/>
  <c r="I41" i="34" s="1"/>
  <c r="G39" i="38"/>
  <c r="I39" i="38" s="1"/>
  <c r="I62" i="20"/>
  <c r="D44" i="13"/>
  <c r="E44" i="13" s="1"/>
  <c r="H43" i="13"/>
  <c r="G43" i="13"/>
  <c r="D46" i="27"/>
  <c r="E46" i="27"/>
  <c r="F46" i="21"/>
  <c r="G46" i="21" s="1"/>
  <c r="B46" i="21"/>
  <c r="D42" i="35"/>
  <c r="E42" i="35"/>
  <c r="D45" i="26"/>
  <c r="E45" i="26"/>
  <c r="F45" i="22"/>
  <c r="H45" i="22" s="1"/>
  <c r="B45" i="22"/>
  <c r="D46" i="23"/>
  <c r="E46" i="23"/>
  <c r="B48" i="19"/>
  <c r="F48" i="19"/>
  <c r="G48" i="19" s="1"/>
  <c r="H44" i="26"/>
  <c r="I44" i="26" s="1"/>
  <c r="B49" i="4"/>
  <c r="F49" i="4"/>
  <c r="D41" i="37"/>
  <c r="E41" i="37"/>
  <c r="D42" i="31"/>
  <c r="E42" i="31"/>
  <c r="G63" i="20"/>
  <c r="B64" i="20"/>
  <c r="H63" i="20"/>
  <c r="E64" i="20"/>
  <c r="F64" i="20" s="1"/>
  <c r="D43" i="29"/>
  <c r="E43" i="29"/>
  <c r="B50" i="3"/>
  <c r="F50" i="3"/>
  <c r="H50" i="3" s="1"/>
  <c r="D44" i="25"/>
  <c r="E44" i="25"/>
  <c r="J127" i="28"/>
  <c r="H41" i="31"/>
  <c r="G45" i="27"/>
  <c r="I44" i="22"/>
  <c r="G42" i="29"/>
  <c r="G40" i="37"/>
  <c r="I40" i="37" s="1"/>
  <c r="H41" i="35"/>
  <c r="H43" i="25"/>
  <c r="I43" i="25" s="1"/>
  <c r="D40" i="38"/>
  <c r="E40" i="38"/>
  <c r="H45" i="27"/>
  <c r="B48" i="18"/>
  <c r="F48" i="18"/>
  <c r="H42" i="29"/>
  <c r="G41" i="31"/>
  <c r="D42" i="34"/>
  <c r="E42" i="34"/>
  <c r="I49" i="3"/>
  <c r="H45" i="23"/>
  <c r="I45" i="23" s="1"/>
  <c r="G41" i="35"/>
  <c r="J123" i="20"/>
  <c r="D125" i="20"/>
  <c r="E125" i="20" s="1"/>
  <c r="G124" i="20"/>
  <c r="D54" i="42" l="1"/>
  <c r="E54" i="42" s="1"/>
  <c r="D137" i="42"/>
  <c r="G136" i="42"/>
  <c r="H69" i="28"/>
  <c r="G69" i="28"/>
  <c r="E70" i="28"/>
  <c r="F70" i="28" s="1"/>
  <c r="J123" i="13"/>
  <c r="I45" i="27"/>
  <c r="G46" i="24"/>
  <c r="I46" i="24" s="1"/>
  <c r="E47" i="24"/>
  <c r="D47" i="24"/>
  <c r="G124" i="13"/>
  <c r="D125" i="13"/>
  <c r="B125" i="13" s="1"/>
  <c r="I41" i="35"/>
  <c r="G45" i="22"/>
  <c r="I45" i="22" s="1"/>
  <c r="I63" i="20"/>
  <c r="D49" i="18"/>
  <c r="E49" i="18"/>
  <c r="B44" i="25"/>
  <c r="F44" i="25"/>
  <c r="G44" i="25" s="1"/>
  <c r="B42" i="31"/>
  <c r="F42" i="31"/>
  <c r="B46" i="28"/>
  <c r="H48" i="18"/>
  <c r="D47" i="21"/>
  <c r="E47" i="21"/>
  <c r="D51" i="3"/>
  <c r="E51" i="3" s="1"/>
  <c r="F41" i="37"/>
  <c r="G41" i="37" s="1"/>
  <c r="B41" i="37"/>
  <c r="F46" i="23"/>
  <c r="G46" i="23" s="1"/>
  <c r="B46" i="23"/>
  <c r="B45" i="26"/>
  <c r="F45" i="26"/>
  <c r="H45" i="26" s="1"/>
  <c r="F42" i="34"/>
  <c r="H42" i="34" s="1"/>
  <c r="B42" i="34"/>
  <c r="G48" i="18"/>
  <c r="G50" i="3"/>
  <c r="I50" i="3" s="1"/>
  <c r="D50" i="4"/>
  <c r="E50" i="4"/>
  <c r="B46" i="27"/>
  <c r="F46" i="27"/>
  <c r="D49" i="19"/>
  <c r="E49" i="19"/>
  <c r="I41" i="31"/>
  <c r="G49" i="4"/>
  <c r="H48" i="19"/>
  <c r="I48" i="19" s="1"/>
  <c r="B42" i="35"/>
  <c r="F42" i="35"/>
  <c r="G42" i="35" s="1"/>
  <c r="I43" i="13"/>
  <c r="F40" i="38"/>
  <c r="H40" i="38" s="1"/>
  <c r="B40" i="38"/>
  <c r="F43" i="29"/>
  <c r="H43" i="29" s="1"/>
  <c r="H49" i="4"/>
  <c r="D46" i="22"/>
  <c r="E46" i="22"/>
  <c r="H46" i="21"/>
  <c r="I46" i="21" s="1"/>
  <c r="I42" i="29"/>
  <c r="E65" i="20"/>
  <c r="F65" i="20" s="1"/>
  <c r="B65" i="20"/>
  <c r="G64" i="20"/>
  <c r="H64" i="20"/>
  <c r="B44" i="13"/>
  <c r="F44" i="13"/>
  <c r="G44" i="13" s="1"/>
  <c r="B129" i="28"/>
  <c r="H124" i="20"/>
  <c r="I124" i="20"/>
  <c r="F125" i="20"/>
  <c r="B125" i="20"/>
  <c r="B137" i="42" l="1"/>
  <c r="E137" i="42"/>
  <c r="F137" i="42" s="1"/>
  <c r="F54" i="42"/>
  <c r="B54" i="42"/>
  <c r="H70" i="28"/>
  <c r="G70" i="28"/>
  <c r="E71" i="28"/>
  <c r="F71" i="28" s="1"/>
  <c r="E125" i="13"/>
  <c r="F125" i="13" s="1"/>
  <c r="D126" i="13" s="1"/>
  <c r="E126" i="13" s="1"/>
  <c r="B47" i="24"/>
  <c r="F47" i="24"/>
  <c r="G47" i="24" s="1"/>
  <c r="G45" i="26"/>
  <c r="I45" i="26" s="1"/>
  <c r="H124" i="13"/>
  <c r="I124" i="13"/>
  <c r="H44" i="13"/>
  <c r="I44" i="13" s="1"/>
  <c r="I64" i="20"/>
  <c r="I49" i="4"/>
  <c r="G40" i="38"/>
  <c r="I40" i="38" s="1"/>
  <c r="G42" i="34"/>
  <c r="I42" i="34" s="1"/>
  <c r="H46" i="23"/>
  <c r="I46" i="23" s="1"/>
  <c r="H42" i="35"/>
  <c r="I42" i="35" s="1"/>
  <c r="G65" i="20"/>
  <c r="E66" i="20"/>
  <c r="F66" i="20" s="1"/>
  <c r="B66" i="20"/>
  <c r="H65" i="20"/>
  <c r="D43" i="31"/>
  <c r="E43" i="31"/>
  <c r="D44" i="29"/>
  <c r="E44" i="29"/>
  <c r="D42" i="37"/>
  <c r="E42" i="37"/>
  <c r="D47" i="27"/>
  <c r="E47" i="27"/>
  <c r="H46" i="27"/>
  <c r="B51" i="3"/>
  <c r="F51" i="3"/>
  <c r="H51" i="3" s="1"/>
  <c r="I46" i="28"/>
  <c r="D45" i="25"/>
  <c r="E45" i="25"/>
  <c r="F46" i="22"/>
  <c r="H46" i="22" s="1"/>
  <c r="B46" i="22"/>
  <c r="G46" i="27"/>
  <c r="H44" i="25"/>
  <c r="I44" i="25" s="1"/>
  <c r="D41" i="38"/>
  <c r="E41" i="38"/>
  <c r="D43" i="34"/>
  <c r="E43" i="34"/>
  <c r="D47" i="23"/>
  <c r="E47" i="23"/>
  <c r="B47" i="21"/>
  <c r="F47" i="21"/>
  <c r="G47" i="21" s="1"/>
  <c r="G42" i="31"/>
  <c r="D45" i="13"/>
  <c r="E45" i="13" s="1"/>
  <c r="G43" i="29"/>
  <c r="I43" i="29" s="1"/>
  <c r="D43" i="35"/>
  <c r="E43" i="35"/>
  <c r="F49" i="19"/>
  <c r="H49" i="19" s="1"/>
  <c r="B49" i="19"/>
  <c r="F50" i="4"/>
  <c r="G50" i="4" s="1"/>
  <c r="B50" i="4"/>
  <c r="D46" i="26"/>
  <c r="E46" i="26"/>
  <c r="H41" i="37"/>
  <c r="I41" i="37" s="1"/>
  <c r="I48" i="18"/>
  <c r="H42" i="31"/>
  <c r="F49" i="18"/>
  <c r="H49" i="18" s="1"/>
  <c r="B49" i="18"/>
  <c r="J128" i="28"/>
  <c r="J124" i="20"/>
  <c r="G125" i="20"/>
  <c r="D126" i="20"/>
  <c r="D138" i="42" l="1"/>
  <c r="E138" i="42" s="1"/>
  <c r="G137" i="42"/>
  <c r="D55" i="42"/>
  <c r="E55" i="42" s="1"/>
  <c r="G125" i="13"/>
  <c r="H125" i="13" s="1"/>
  <c r="H71" i="28"/>
  <c r="G71" i="28"/>
  <c r="E72" i="28"/>
  <c r="F72" i="28" s="1"/>
  <c r="B126" i="13"/>
  <c r="F126" i="13"/>
  <c r="D127" i="13" s="1"/>
  <c r="E127" i="13" s="1"/>
  <c r="I42" i="31"/>
  <c r="H47" i="24"/>
  <c r="I47" i="24" s="1"/>
  <c r="D48" i="24"/>
  <c r="E48" i="24"/>
  <c r="J124" i="13"/>
  <c r="H50" i="4"/>
  <c r="I50" i="4" s="1"/>
  <c r="I65" i="20"/>
  <c r="G46" i="22"/>
  <c r="I46" i="22" s="1"/>
  <c r="I46" i="27"/>
  <c r="F47" i="23"/>
  <c r="H47" i="23" s="1"/>
  <c r="B47" i="23"/>
  <c r="B46" i="26"/>
  <c r="F46" i="26"/>
  <c r="D50" i="19"/>
  <c r="E50" i="19" s="1"/>
  <c r="B42" i="37"/>
  <c r="F42" i="37"/>
  <c r="G42" i="37" s="1"/>
  <c r="G49" i="18"/>
  <c r="I49" i="18" s="1"/>
  <c r="B47" i="28"/>
  <c r="B43" i="34"/>
  <c r="F43" i="34"/>
  <c r="H43" i="34" s="1"/>
  <c r="D47" i="22"/>
  <c r="E47" i="22"/>
  <c r="B43" i="35"/>
  <c r="F43" i="35"/>
  <c r="H43" i="35" s="1"/>
  <c r="D48" i="21"/>
  <c r="E48" i="21"/>
  <c r="F44" i="29"/>
  <c r="D50" i="18"/>
  <c r="E50" i="18" s="1"/>
  <c r="B41" i="38"/>
  <c r="F41" i="38"/>
  <c r="B45" i="25"/>
  <c r="F45" i="25"/>
  <c r="D51" i="4"/>
  <c r="E51" i="4" s="1"/>
  <c r="H47" i="21"/>
  <c r="I47" i="21" s="1"/>
  <c r="G49" i="19"/>
  <c r="I49" i="19" s="1"/>
  <c r="F45" i="13"/>
  <c r="H45" i="13" s="1"/>
  <c r="B45" i="13"/>
  <c r="D52" i="3"/>
  <c r="E52" i="3" s="1"/>
  <c r="B43" i="31"/>
  <c r="F43" i="31"/>
  <c r="H43" i="31" s="1"/>
  <c r="G66" i="20"/>
  <c r="B67" i="20"/>
  <c r="E67" i="20"/>
  <c r="F67" i="20" s="1"/>
  <c r="H66" i="20"/>
  <c r="G51" i="3"/>
  <c r="I51" i="3" s="1"/>
  <c r="B47" i="27"/>
  <c r="F47" i="27"/>
  <c r="H47" i="27" s="1"/>
  <c r="B130" i="28"/>
  <c r="H125" i="20"/>
  <c r="I125" i="20"/>
  <c r="B126" i="20"/>
  <c r="E126" i="20"/>
  <c r="F126" i="20" s="1"/>
  <c r="F55" i="42" l="1"/>
  <c r="B55" i="42"/>
  <c r="F138" i="42"/>
  <c r="B138" i="42"/>
  <c r="I125" i="13"/>
  <c r="J125" i="13" s="1"/>
  <c r="H72" i="28"/>
  <c r="G72" i="28"/>
  <c r="E73" i="28"/>
  <c r="F73" i="28" s="1"/>
  <c r="G126" i="13"/>
  <c r="H126" i="13" s="1"/>
  <c r="F48" i="24"/>
  <c r="G48" i="24" s="1"/>
  <c r="B48" i="24"/>
  <c r="G47" i="23"/>
  <c r="I47" i="23" s="1"/>
  <c r="G43" i="34"/>
  <c r="I43" i="34" s="1"/>
  <c r="I47" i="28"/>
  <c r="G43" i="31"/>
  <c r="I43" i="31" s="1"/>
  <c r="G45" i="13"/>
  <c r="I45" i="13" s="1"/>
  <c r="I66" i="20"/>
  <c r="D42" i="38"/>
  <c r="E42" i="38"/>
  <c r="D45" i="29"/>
  <c r="E45" i="29"/>
  <c r="G67" i="20"/>
  <c r="B68" i="20"/>
  <c r="H67" i="20"/>
  <c r="E68" i="20"/>
  <c r="F68" i="20" s="1"/>
  <c r="B52" i="3"/>
  <c r="F52" i="3"/>
  <c r="B51" i="4"/>
  <c r="F51" i="4"/>
  <c r="G41" i="38"/>
  <c r="D43" i="37"/>
  <c r="E43" i="37"/>
  <c r="D48" i="27"/>
  <c r="E48" i="27"/>
  <c r="H41" i="38"/>
  <c r="D46" i="25"/>
  <c r="E46" i="25"/>
  <c r="B48" i="21"/>
  <c r="F48" i="21"/>
  <c r="F47" i="22"/>
  <c r="G47" i="22" s="1"/>
  <c r="B47" i="22"/>
  <c r="B50" i="19"/>
  <c r="F50" i="19"/>
  <c r="G50" i="19" s="1"/>
  <c r="G47" i="27"/>
  <c r="I47" i="27" s="1"/>
  <c r="D46" i="13"/>
  <c r="E46" i="13" s="1"/>
  <c r="H45" i="25"/>
  <c r="B50" i="18"/>
  <c r="F50" i="18"/>
  <c r="H50" i="18" s="1"/>
  <c r="D44" i="35"/>
  <c r="E44" i="35"/>
  <c r="D47" i="26"/>
  <c r="E47" i="26"/>
  <c r="D48" i="23"/>
  <c r="E48" i="23" s="1"/>
  <c r="D44" i="31"/>
  <c r="E44" i="31"/>
  <c r="H44" i="29"/>
  <c r="G46" i="26"/>
  <c r="G45" i="25"/>
  <c r="G44" i="29"/>
  <c r="G43" i="35"/>
  <c r="I43" i="35" s="1"/>
  <c r="D44" i="34"/>
  <c r="E44" i="34"/>
  <c r="H42" i="37"/>
  <c r="I42" i="37" s="1"/>
  <c r="H46" i="26"/>
  <c r="J125" i="20"/>
  <c r="J129" i="28"/>
  <c r="B127" i="13"/>
  <c r="F127" i="13"/>
  <c r="G126" i="20"/>
  <c r="D127" i="20"/>
  <c r="E127" i="20" s="1"/>
  <c r="G138" i="42" l="1"/>
  <c r="D139" i="42"/>
  <c r="E139" i="42" s="1"/>
  <c r="D56" i="42"/>
  <c r="H73" i="28"/>
  <c r="G73" i="28"/>
  <c r="I126" i="13"/>
  <c r="J126" i="13" s="1"/>
  <c r="H48" i="24"/>
  <c r="I48" i="24" s="1"/>
  <c r="D49" i="24"/>
  <c r="E49" i="24"/>
  <c r="H50" i="19"/>
  <c r="I50" i="19" s="1"/>
  <c r="I41" i="38"/>
  <c r="I46" i="26"/>
  <c r="F48" i="23"/>
  <c r="G48" i="23" s="1"/>
  <c r="B48" i="23"/>
  <c r="D49" i="21"/>
  <c r="E49" i="21" s="1"/>
  <c r="D52" i="4"/>
  <c r="E52" i="4" s="1"/>
  <c r="I45" i="25"/>
  <c r="F47" i="26"/>
  <c r="B47" i="26"/>
  <c r="D53" i="3"/>
  <c r="E53" i="3" s="1"/>
  <c r="F46" i="13"/>
  <c r="B46" i="13"/>
  <c r="F46" i="25"/>
  <c r="G46" i="25" s="1"/>
  <c r="B46" i="25"/>
  <c r="B48" i="27"/>
  <c r="F48" i="27"/>
  <c r="G48" i="27" s="1"/>
  <c r="B43" i="37"/>
  <c r="F43" i="37"/>
  <c r="H43" i="37" s="1"/>
  <c r="G52" i="3"/>
  <c r="I44" i="29"/>
  <c r="F44" i="35"/>
  <c r="G44" i="35" s="1"/>
  <c r="B44" i="35"/>
  <c r="D48" i="22"/>
  <c r="E48" i="22"/>
  <c r="G50" i="18"/>
  <c r="I50" i="18" s="1"/>
  <c r="H47" i="22"/>
  <c r="I47" i="22" s="1"/>
  <c r="H52" i="3"/>
  <c r="F45" i="29"/>
  <c r="H45" i="29" s="1"/>
  <c r="F44" i="34"/>
  <c r="H44" i="34" s="1"/>
  <c r="B44" i="34"/>
  <c r="B44" i="31"/>
  <c r="F44" i="31"/>
  <c r="G44" i="31" s="1"/>
  <c r="D51" i="19"/>
  <c r="E51" i="19" s="1"/>
  <c r="H48" i="21"/>
  <c r="B48" i="28"/>
  <c r="H51" i="4"/>
  <c r="E69" i="20"/>
  <c r="F69" i="20" s="1"/>
  <c r="G68" i="20"/>
  <c r="H68" i="20"/>
  <c r="B69" i="20"/>
  <c r="D51" i="18"/>
  <c r="E51" i="18" s="1"/>
  <c r="G48" i="21"/>
  <c r="G51" i="4"/>
  <c r="I67" i="20"/>
  <c r="F42" i="38"/>
  <c r="G42" i="38" s="1"/>
  <c r="B42" i="38"/>
  <c r="B131" i="28"/>
  <c r="G127" i="13"/>
  <c r="D128" i="13"/>
  <c r="E128" i="13" s="1"/>
  <c r="F127" i="20"/>
  <c r="B127" i="20"/>
  <c r="H126" i="20"/>
  <c r="I126" i="20"/>
  <c r="B139" i="42" l="1"/>
  <c r="F139" i="42"/>
  <c r="B56" i="42"/>
  <c r="E56" i="42"/>
  <c r="F56" i="42" s="1"/>
  <c r="F49" i="24"/>
  <c r="H49" i="24" s="1"/>
  <c r="B49" i="24"/>
  <c r="H44" i="31"/>
  <c r="I44" i="31" s="1"/>
  <c r="G45" i="29"/>
  <c r="I45" i="29" s="1"/>
  <c r="H44" i="35"/>
  <c r="I44" i="35" s="1"/>
  <c r="I68" i="20"/>
  <c r="I51" i="4"/>
  <c r="I48" i="28"/>
  <c r="H46" i="25"/>
  <c r="I46" i="25" s="1"/>
  <c r="H48" i="23"/>
  <c r="I48" i="23" s="1"/>
  <c r="G69" i="20"/>
  <c r="H69" i="20"/>
  <c r="B70" i="20"/>
  <c r="E70" i="20"/>
  <c r="F70" i="20" s="1"/>
  <c r="D47" i="13"/>
  <c r="E47" i="13" s="1"/>
  <c r="B51" i="19"/>
  <c r="F51" i="19"/>
  <c r="H51" i="19" s="1"/>
  <c r="D45" i="34"/>
  <c r="E45" i="34"/>
  <c r="B48" i="22"/>
  <c r="F48" i="22"/>
  <c r="G48" i="22" s="1"/>
  <c r="D44" i="37"/>
  <c r="E44" i="37"/>
  <c r="F53" i="3"/>
  <c r="H53" i="3" s="1"/>
  <c r="B53" i="3"/>
  <c r="B49" i="21"/>
  <c r="F49" i="21"/>
  <c r="H49" i="21" s="1"/>
  <c r="B51" i="18"/>
  <c r="F51" i="18"/>
  <c r="G51" i="18" s="1"/>
  <c r="D46" i="29"/>
  <c r="E46" i="29"/>
  <c r="D43" i="38"/>
  <c r="E43" i="38"/>
  <c r="D45" i="31"/>
  <c r="E45" i="31"/>
  <c r="G43" i="37"/>
  <c r="I43" i="37" s="1"/>
  <c r="D47" i="25"/>
  <c r="E47" i="25"/>
  <c r="D48" i="26"/>
  <c r="E48" i="26"/>
  <c r="F52" i="4"/>
  <c r="H52" i="4" s="1"/>
  <c r="B52" i="4"/>
  <c r="H42" i="38"/>
  <c r="I42" i="38" s="1"/>
  <c r="I52" i="3"/>
  <c r="H47" i="26"/>
  <c r="G44" i="34"/>
  <c r="I44" i="34" s="1"/>
  <c r="D45" i="35"/>
  <c r="E45" i="35"/>
  <c r="D49" i="27"/>
  <c r="E49" i="27"/>
  <c r="G46" i="13"/>
  <c r="G47" i="26"/>
  <c r="D49" i="23"/>
  <c r="E49" i="23" s="1"/>
  <c r="I48" i="21"/>
  <c r="H48" i="27"/>
  <c r="I48" i="27" s="1"/>
  <c r="H46" i="13"/>
  <c r="J130" i="28"/>
  <c r="I127" i="13"/>
  <c r="H127" i="13"/>
  <c r="B128" i="13"/>
  <c r="F128" i="13"/>
  <c r="G127" i="20"/>
  <c r="D128" i="20"/>
  <c r="J126" i="20"/>
  <c r="D57" i="42" l="1"/>
  <c r="E57" i="42" s="1"/>
  <c r="D140" i="42"/>
  <c r="E140" i="42" s="1"/>
  <c r="G139" i="42"/>
  <c r="G49" i="24"/>
  <c r="I49" i="24" s="1"/>
  <c r="D50" i="24"/>
  <c r="G53" i="3"/>
  <c r="I53" i="3" s="1"/>
  <c r="G49" i="21"/>
  <c r="I49" i="21" s="1"/>
  <c r="I69" i="20"/>
  <c r="H48" i="22"/>
  <c r="I48" i="22" s="1"/>
  <c r="B43" i="38"/>
  <c r="F43" i="38"/>
  <c r="G43" i="38" s="1"/>
  <c r="B45" i="34"/>
  <c r="F45" i="34"/>
  <c r="F48" i="26"/>
  <c r="H48" i="26" s="1"/>
  <c r="B48" i="26"/>
  <c r="B44" i="37"/>
  <c r="F44" i="37"/>
  <c r="G44" i="37" s="1"/>
  <c r="B49" i="28"/>
  <c r="F46" i="29"/>
  <c r="D52" i="19"/>
  <c r="E52" i="19" s="1"/>
  <c r="B47" i="25"/>
  <c r="F47" i="25"/>
  <c r="H47" i="25" s="1"/>
  <c r="D52" i="18"/>
  <c r="E52" i="18" s="1"/>
  <c r="D49" i="22"/>
  <c r="E49" i="22"/>
  <c r="G51" i="19"/>
  <c r="I51" i="19" s="1"/>
  <c r="I46" i="13"/>
  <c r="F49" i="27"/>
  <c r="B49" i="27"/>
  <c r="B45" i="35"/>
  <c r="F45" i="35"/>
  <c r="G45" i="35" s="1"/>
  <c r="I47" i="26"/>
  <c r="D53" i="4"/>
  <c r="E53" i="4" s="1"/>
  <c r="F45" i="31"/>
  <c r="G45" i="31" s="1"/>
  <c r="B45" i="31"/>
  <c r="H51" i="18"/>
  <c r="I51" i="18" s="1"/>
  <c r="D54" i="3"/>
  <c r="E54" i="3" s="1"/>
  <c r="F47" i="13"/>
  <c r="G47" i="13" s="1"/>
  <c r="B47" i="13"/>
  <c r="B49" i="23"/>
  <c r="F49" i="23"/>
  <c r="H49" i="23" s="1"/>
  <c r="G52" i="4"/>
  <c r="I52" i="4" s="1"/>
  <c r="D50" i="21"/>
  <c r="E50" i="21" s="1"/>
  <c r="B71" i="20"/>
  <c r="H70" i="20"/>
  <c r="G70" i="20"/>
  <c r="E71" i="20"/>
  <c r="F71" i="20" s="1"/>
  <c r="B132" i="28"/>
  <c r="J127" i="13"/>
  <c r="D129" i="13"/>
  <c r="G128" i="13"/>
  <c r="B128" i="20"/>
  <c r="I127" i="20"/>
  <c r="H127" i="20"/>
  <c r="E128" i="20"/>
  <c r="F128" i="20" s="1"/>
  <c r="F140" i="42" l="1"/>
  <c r="B140" i="42"/>
  <c r="F57" i="42"/>
  <c r="B57" i="42"/>
  <c r="E50" i="24"/>
  <c r="F50" i="24" s="1"/>
  <c r="G50" i="24" s="1"/>
  <c r="B50" i="24"/>
  <c r="I49" i="28"/>
  <c r="H47" i="13"/>
  <c r="I47" i="13" s="1"/>
  <c r="G49" i="23"/>
  <c r="I49" i="23" s="1"/>
  <c r="J131" i="28"/>
  <c r="G48" i="26"/>
  <c r="I48" i="26" s="1"/>
  <c r="H45" i="31"/>
  <c r="I45" i="31" s="1"/>
  <c r="H43" i="38"/>
  <c r="I43" i="38" s="1"/>
  <c r="F50" i="21"/>
  <c r="H50" i="21" s="1"/>
  <c r="B50" i="21"/>
  <c r="D46" i="35"/>
  <c r="E46" i="35"/>
  <c r="D50" i="27"/>
  <c r="E50" i="27" s="1"/>
  <c r="D47" i="29"/>
  <c r="E47" i="29" s="1"/>
  <c r="D46" i="34"/>
  <c r="E46" i="34"/>
  <c r="D48" i="25"/>
  <c r="E48" i="25" s="1"/>
  <c r="D45" i="37"/>
  <c r="E45" i="37"/>
  <c r="G45" i="34"/>
  <c r="G71" i="20"/>
  <c r="B72" i="20"/>
  <c r="E72" i="20"/>
  <c r="F72" i="20" s="1"/>
  <c r="H71" i="20"/>
  <c r="D50" i="23"/>
  <c r="E50" i="23" s="1"/>
  <c r="D46" i="31"/>
  <c r="E46" i="31"/>
  <c r="H44" i="37"/>
  <c r="I44" i="37" s="1"/>
  <c r="H45" i="34"/>
  <c r="D48" i="13"/>
  <c r="E48" i="13" s="1"/>
  <c r="F49" i="22"/>
  <c r="H49" i="22" s="1"/>
  <c r="B49" i="22"/>
  <c r="I70" i="20"/>
  <c r="B53" i="4"/>
  <c r="F53" i="4"/>
  <c r="H53" i="4" s="1"/>
  <c r="F52" i="19"/>
  <c r="G52" i="19" s="1"/>
  <c r="B52" i="19"/>
  <c r="B54" i="3"/>
  <c r="F54" i="3"/>
  <c r="H54" i="3" s="1"/>
  <c r="H49" i="27"/>
  <c r="B52" i="18"/>
  <c r="F52" i="18"/>
  <c r="H52" i="18" s="1"/>
  <c r="G46" i="29"/>
  <c r="D44" i="38"/>
  <c r="E44" i="38"/>
  <c r="H45" i="35"/>
  <c r="I45" i="35" s="1"/>
  <c r="G49" i="27"/>
  <c r="G47" i="25"/>
  <c r="I47" i="25" s="1"/>
  <c r="H46" i="29"/>
  <c r="D49" i="26"/>
  <c r="E49" i="26" s="1"/>
  <c r="J127" i="20"/>
  <c r="B129" i="13"/>
  <c r="I128" i="13"/>
  <c r="H128" i="13"/>
  <c r="E129" i="13"/>
  <c r="F129" i="13" s="1"/>
  <c r="G128" i="20"/>
  <c r="D129" i="20"/>
  <c r="D141" i="42" l="1"/>
  <c r="E141" i="42" s="1"/>
  <c r="G140" i="42"/>
  <c r="D58" i="42"/>
  <c r="H50" i="24"/>
  <c r="I50" i="24" s="1"/>
  <c r="D51" i="24"/>
  <c r="G49" i="22"/>
  <c r="I49" i="22" s="1"/>
  <c r="H52" i="19"/>
  <c r="I52" i="19" s="1"/>
  <c r="G50" i="21"/>
  <c r="I50" i="21" s="1"/>
  <c r="I46" i="29"/>
  <c r="D53" i="18"/>
  <c r="E53" i="18" s="1"/>
  <c r="D54" i="4"/>
  <c r="E54" i="4" s="1"/>
  <c r="B46" i="34"/>
  <c r="F46" i="34"/>
  <c r="G46" i="34" s="1"/>
  <c r="G53" i="4"/>
  <c r="I53" i="4" s="1"/>
  <c r="F46" i="31"/>
  <c r="G46" i="31" s="1"/>
  <c r="B46" i="31"/>
  <c r="I49" i="27"/>
  <c r="D50" i="22"/>
  <c r="E50" i="22" s="1"/>
  <c r="B50" i="23"/>
  <c r="F50" i="23"/>
  <c r="H50" i="23" s="1"/>
  <c r="F47" i="29"/>
  <c r="H47" i="29" s="1"/>
  <c r="D51" i="21"/>
  <c r="E51" i="21" s="1"/>
  <c r="D55" i="3"/>
  <c r="E55" i="3" s="1"/>
  <c r="B44" i="38"/>
  <c r="F44" i="38"/>
  <c r="F48" i="13"/>
  <c r="B48" i="13"/>
  <c r="I71" i="20"/>
  <c r="F45" i="37"/>
  <c r="G45" i="37" s="1"/>
  <c r="B45" i="37"/>
  <c r="B50" i="27"/>
  <c r="F50" i="27"/>
  <c r="H50" i="27" s="1"/>
  <c r="I45" i="34"/>
  <c r="G72" i="20"/>
  <c r="E73" i="20"/>
  <c r="B73" i="20"/>
  <c r="H72" i="20"/>
  <c r="B49" i="26"/>
  <c r="F49" i="26"/>
  <c r="H49" i="26" s="1"/>
  <c r="G52" i="18"/>
  <c r="I52" i="18" s="1"/>
  <c r="G54" i="3"/>
  <c r="I54" i="3" s="1"/>
  <c r="D53" i="19"/>
  <c r="E53" i="19" s="1"/>
  <c r="B50" i="28"/>
  <c r="B48" i="25"/>
  <c r="F48" i="25"/>
  <c r="G48" i="25" s="1"/>
  <c r="F46" i="35"/>
  <c r="G46" i="35" s="1"/>
  <c r="B46" i="35"/>
  <c r="B133" i="28"/>
  <c r="J128" i="13"/>
  <c r="D130" i="13"/>
  <c r="E130" i="13" s="1"/>
  <c r="G129" i="13"/>
  <c r="B129" i="20"/>
  <c r="E129" i="20"/>
  <c r="F129" i="20" s="1"/>
  <c r="H128" i="20"/>
  <c r="I128" i="20"/>
  <c r="B58" i="42" l="1"/>
  <c r="E58" i="42"/>
  <c r="F58" i="42" s="1"/>
  <c r="B141" i="42"/>
  <c r="F141" i="42"/>
  <c r="E51" i="24"/>
  <c r="F51" i="24" s="1"/>
  <c r="D52" i="24" s="1"/>
  <c r="B51" i="24"/>
  <c r="G47" i="29"/>
  <c r="I47" i="29" s="1"/>
  <c r="H46" i="34"/>
  <c r="I46" i="34" s="1"/>
  <c r="H46" i="31"/>
  <c r="I46" i="31" s="1"/>
  <c r="H46" i="35"/>
  <c r="I46" i="35" s="1"/>
  <c r="G50" i="23"/>
  <c r="I50" i="23" s="1"/>
  <c r="H48" i="25"/>
  <c r="I48" i="25" s="1"/>
  <c r="H45" i="37"/>
  <c r="I45" i="37" s="1"/>
  <c r="I72" i="20"/>
  <c r="D49" i="13"/>
  <c r="F55" i="3"/>
  <c r="G55" i="3" s="1"/>
  <c r="B55" i="3"/>
  <c r="B54" i="4"/>
  <c r="F54" i="4"/>
  <c r="J132" i="28"/>
  <c r="F73" i="20"/>
  <c r="E74" i="20"/>
  <c r="D47" i="31"/>
  <c r="E47" i="31" s="1"/>
  <c r="D50" i="26"/>
  <c r="E50" i="26" s="1"/>
  <c r="F51" i="21"/>
  <c r="H51" i="21" s="1"/>
  <c r="B51" i="21"/>
  <c r="D46" i="37"/>
  <c r="E46" i="37"/>
  <c r="D45" i="38"/>
  <c r="E45" i="38"/>
  <c r="F50" i="22"/>
  <c r="H50" i="22" s="1"/>
  <c r="B50" i="22"/>
  <c r="D47" i="35"/>
  <c r="E47" i="35" s="1"/>
  <c r="I50" i="28"/>
  <c r="G49" i="26"/>
  <c r="I49" i="26" s="1"/>
  <c r="G44" i="38"/>
  <c r="D51" i="27"/>
  <c r="E51" i="27" s="1"/>
  <c r="G48" i="13"/>
  <c r="D48" i="29"/>
  <c r="E48" i="29" s="1"/>
  <c r="D47" i="34"/>
  <c r="E47" i="34"/>
  <c r="F53" i="18"/>
  <c r="G53" i="18" s="1"/>
  <c r="B53" i="18"/>
  <c r="D49" i="25"/>
  <c r="E49" i="25"/>
  <c r="F53" i="19"/>
  <c r="H53" i="19" s="1"/>
  <c r="B53" i="19"/>
  <c r="G50" i="27"/>
  <c r="I50" i="27" s="1"/>
  <c r="H48" i="13"/>
  <c r="H44" i="38"/>
  <c r="D51" i="23"/>
  <c r="E51" i="23" s="1"/>
  <c r="J128" i="20"/>
  <c r="I129" i="13"/>
  <c r="H129" i="13"/>
  <c r="B130" i="13"/>
  <c r="F130" i="13"/>
  <c r="G129" i="20"/>
  <c r="D130" i="20"/>
  <c r="E130" i="20" s="1"/>
  <c r="D59" i="42" l="1"/>
  <c r="E59" i="42" s="1"/>
  <c r="D142" i="42"/>
  <c r="E142" i="42" s="1"/>
  <c r="G141" i="42"/>
  <c r="I44" i="38"/>
  <c r="H55" i="3"/>
  <c r="I55" i="3" s="1"/>
  <c r="H51" i="24"/>
  <c r="E52" i="24"/>
  <c r="F52" i="24" s="1"/>
  <c r="B52" i="24"/>
  <c r="G51" i="24"/>
  <c r="I48" i="13"/>
  <c r="G53" i="19"/>
  <c r="I53" i="19" s="1"/>
  <c r="G51" i="21"/>
  <c r="I51" i="21" s="1"/>
  <c r="B51" i="28"/>
  <c r="B51" i="27"/>
  <c r="F51" i="27"/>
  <c r="G51" i="27" s="1"/>
  <c r="H73" i="20"/>
  <c r="G73" i="20"/>
  <c r="G74" i="20" s="1"/>
  <c r="D54" i="18"/>
  <c r="E54" i="18" s="1"/>
  <c r="D51" i="22"/>
  <c r="E51" i="22" s="1"/>
  <c r="B51" i="23"/>
  <c r="F51" i="23"/>
  <c r="G50" i="22"/>
  <c r="I50" i="22" s="1"/>
  <c r="D56" i="3"/>
  <c r="E56" i="3" s="1"/>
  <c r="D54" i="19"/>
  <c r="E54" i="19" s="1"/>
  <c r="F47" i="34"/>
  <c r="H47" i="34" s="1"/>
  <c r="B47" i="34"/>
  <c r="D52" i="21"/>
  <c r="E52" i="21" s="1"/>
  <c r="D55" i="4"/>
  <c r="E55" i="4" s="1"/>
  <c r="B49" i="13"/>
  <c r="F45" i="38"/>
  <c r="H45" i="38" s="1"/>
  <c r="B45" i="38"/>
  <c r="H54" i="4"/>
  <c r="E49" i="13"/>
  <c r="F49" i="13" s="1"/>
  <c r="F49" i="25"/>
  <c r="H49" i="25" s="1"/>
  <c r="B49" i="25"/>
  <c r="F48" i="29"/>
  <c r="B50" i="26"/>
  <c r="F50" i="26"/>
  <c r="G50" i="26" s="1"/>
  <c r="H53" i="18"/>
  <c r="I53" i="18" s="1"/>
  <c r="F47" i="35"/>
  <c r="H47" i="35" s="1"/>
  <c r="B47" i="35"/>
  <c r="F46" i="37"/>
  <c r="H46" i="37" s="1"/>
  <c r="B46" i="37"/>
  <c r="B47" i="31"/>
  <c r="F47" i="31"/>
  <c r="H47" i="31" s="1"/>
  <c r="G54" i="4"/>
  <c r="B134" i="28"/>
  <c r="G130" i="13"/>
  <c r="D131" i="13"/>
  <c r="E131" i="13" s="1"/>
  <c r="J129" i="13"/>
  <c r="H129" i="20"/>
  <c r="I129" i="20"/>
  <c r="B130" i="20"/>
  <c r="F130" i="20"/>
  <c r="F142" i="42" l="1"/>
  <c r="B142" i="42"/>
  <c r="F59" i="42"/>
  <c r="B59" i="42"/>
  <c r="D53" i="24"/>
  <c r="G52" i="24"/>
  <c r="H52" i="24"/>
  <c r="I51" i="24"/>
  <c r="I51" i="28"/>
  <c r="J133" i="28"/>
  <c r="G47" i="31"/>
  <c r="I47" i="31" s="1"/>
  <c r="G45" i="38"/>
  <c r="I45" i="38" s="1"/>
  <c r="H50" i="26"/>
  <c r="I50" i="26" s="1"/>
  <c r="G47" i="34"/>
  <c r="I47" i="34" s="1"/>
  <c r="G46" i="37"/>
  <c r="I46" i="37" s="1"/>
  <c r="G47" i="35"/>
  <c r="I47" i="35" s="1"/>
  <c r="D50" i="13"/>
  <c r="E50" i="13" s="1"/>
  <c r="H49" i="13"/>
  <c r="G49" i="13"/>
  <c r="F52" i="21"/>
  <c r="G52" i="21" s="1"/>
  <c r="B52" i="21"/>
  <c r="B56" i="3"/>
  <c r="F56" i="3"/>
  <c r="D50" i="25"/>
  <c r="E50" i="25"/>
  <c r="D52" i="27"/>
  <c r="E52" i="27" s="1"/>
  <c r="F51" i="22"/>
  <c r="G51" i="22" s="1"/>
  <c r="B51" i="22"/>
  <c r="H51" i="27"/>
  <c r="I51" i="27" s="1"/>
  <c r="D48" i="31"/>
  <c r="E48" i="31" s="1"/>
  <c r="D49" i="29"/>
  <c r="E49" i="29"/>
  <c r="I54" i="4"/>
  <c r="D48" i="35"/>
  <c r="E48" i="35"/>
  <c r="G48" i="29"/>
  <c r="D48" i="34"/>
  <c r="E48" i="34" s="1"/>
  <c r="D52" i="23"/>
  <c r="E52" i="23" s="1"/>
  <c r="B54" i="18"/>
  <c r="F54" i="18"/>
  <c r="H54" i="18" s="1"/>
  <c r="H48" i="29"/>
  <c r="G49" i="25"/>
  <c r="I49" i="25" s="1"/>
  <c r="B55" i="4"/>
  <c r="F55" i="4"/>
  <c r="F54" i="19"/>
  <c r="H54" i="19" s="1"/>
  <c r="B54" i="19"/>
  <c r="G51" i="23"/>
  <c r="I73" i="20"/>
  <c r="I74" i="20" s="1"/>
  <c r="H74" i="20"/>
  <c r="D47" i="37"/>
  <c r="E47" i="37" s="1"/>
  <c r="D51" i="26"/>
  <c r="E51" i="26" s="1"/>
  <c r="D46" i="38"/>
  <c r="E46" i="38" s="1"/>
  <c r="H51" i="23"/>
  <c r="F131" i="13"/>
  <c r="B131" i="13"/>
  <c r="J129" i="20"/>
  <c r="H130" i="13"/>
  <c r="I130" i="13"/>
  <c r="D131" i="20"/>
  <c r="E131" i="20" s="1"/>
  <c r="G130" i="20"/>
  <c r="D60" i="42" l="1"/>
  <c r="E60" i="42" s="1"/>
  <c r="G142" i="42"/>
  <c r="D143" i="42"/>
  <c r="I52" i="24"/>
  <c r="E53" i="24"/>
  <c r="F53" i="24" s="1"/>
  <c r="H53" i="24" s="1"/>
  <c r="B53" i="24"/>
  <c r="I48" i="29"/>
  <c r="I51" i="23"/>
  <c r="B52" i="23"/>
  <c r="F52" i="23"/>
  <c r="G52" i="23" s="1"/>
  <c r="F47" i="37"/>
  <c r="G47" i="37" s="1"/>
  <c r="B47" i="37"/>
  <c r="F49" i="29"/>
  <c r="D52" i="22"/>
  <c r="E52" i="22" s="1"/>
  <c r="B50" i="25"/>
  <c r="F50" i="25"/>
  <c r="G50" i="25" s="1"/>
  <c r="D53" i="21"/>
  <c r="E53" i="21" s="1"/>
  <c r="B52" i="28"/>
  <c r="D55" i="19"/>
  <c r="E55" i="19" s="1"/>
  <c r="B48" i="34"/>
  <c r="F48" i="34"/>
  <c r="H48" i="34" s="1"/>
  <c r="D57" i="3"/>
  <c r="E57" i="3" s="1"/>
  <c r="D56" i="4"/>
  <c r="E56" i="4" s="1"/>
  <c r="F52" i="27"/>
  <c r="H52" i="27" s="1"/>
  <c r="B52" i="27"/>
  <c r="H56" i="3"/>
  <c r="G55" i="4"/>
  <c r="D55" i="18"/>
  <c r="E55" i="18" s="1"/>
  <c r="F48" i="31"/>
  <c r="H48" i="31" s="1"/>
  <c r="B48" i="31"/>
  <c r="G56" i="3"/>
  <c r="I49" i="13"/>
  <c r="B46" i="38"/>
  <c r="F46" i="38"/>
  <c r="G54" i="18"/>
  <c r="I54" i="18" s="1"/>
  <c r="B48" i="35"/>
  <c r="F48" i="35"/>
  <c r="H48" i="35" s="1"/>
  <c r="H55" i="4"/>
  <c r="H51" i="22"/>
  <c r="I51" i="22" s="1"/>
  <c r="H52" i="21"/>
  <c r="I52" i="21" s="1"/>
  <c r="B50" i="13"/>
  <c r="F50" i="13"/>
  <c r="G50" i="13" s="1"/>
  <c r="F51" i="26"/>
  <c r="G51" i="26" s="1"/>
  <c r="B51" i="26"/>
  <c r="G54" i="19"/>
  <c r="I54" i="19" s="1"/>
  <c r="J130" i="13"/>
  <c r="B135" i="28"/>
  <c r="G131" i="13"/>
  <c r="D132" i="13"/>
  <c r="E132" i="13" s="1"/>
  <c r="I130" i="20"/>
  <c r="H130" i="20"/>
  <c r="F131" i="20"/>
  <c r="B131" i="20"/>
  <c r="B143" i="42" l="1"/>
  <c r="E143" i="42"/>
  <c r="F143" i="42" s="1"/>
  <c r="B60" i="42"/>
  <c r="F60" i="42"/>
  <c r="G53" i="24"/>
  <c r="I53" i="24" s="1"/>
  <c r="D54" i="24"/>
  <c r="H51" i="26"/>
  <c r="I51" i="26" s="1"/>
  <c r="G48" i="31"/>
  <c r="I48" i="31" s="1"/>
  <c r="H47" i="37"/>
  <c r="I47" i="37" s="1"/>
  <c r="I55" i="4"/>
  <c r="G48" i="35"/>
  <c r="I48" i="35" s="1"/>
  <c r="G52" i="27"/>
  <c r="I52" i="27" s="1"/>
  <c r="I52" i="28"/>
  <c r="H50" i="25"/>
  <c r="I50" i="25" s="1"/>
  <c r="I56" i="3"/>
  <c r="F57" i="3"/>
  <c r="H57" i="3" s="1"/>
  <c r="B57" i="3"/>
  <c r="D47" i="38"/>
  <c r="E47" i="38" s="1"/>
  <c r="D49" i="34"/>
  <c r="E49" i="34" s="1"/>
  <c r="B52" i="22"/>
  <c r="F52" i="22"/>
  <c r="G52" i="22" s="1"/>
  <c r="D48" i="37"/>
  <c r="E48" i="37" s="1"/>
  <c r="D52" i="26"/>
  <c r="E52" i="26" s="1"/>
  <c r="D49" i="31"/>
  <c r="E49" i="31" s="1"/>
  <c r="D53" i="27"/>
  <c r="E53" i="27" s="1"/>
  <c r="D50" i="29"/>
  <c r="E50" i="29" s="1"/>
  <c r="G46" i="38"/>
  <c r="G48" i="34"/>
  <c r="I48" i="34" s="1"/>
  <c r="F53" i="21"/>
  <c r="B53" i="21"/>
  <c r="G49" i="29"/>
  <c r="D53" i="23"/>
  <c r="E53" i="23" s="1"/>
  <c r="D51" i="13"/>
  <c r="H46" i="38"/>
  <c r="B55" i="18"/>
  <c r="F55" i="18"/>
  <c r="D51" i="25"/>
  <c r="E51" i="25" s="1"/>
  <c r="H49" i="29"/>
  <c r="H50" i="13"/>
  <c r="I50" i="13" s="1"/>
  <c r="D49" i="35"/>
  <c r="E49" i="35" s="1"/>
  <c r="F56" i="4"/>
  <c r="G56" i="4" s="1"/>
  <c r="B56" i="4"/>
  <c r="B55" i="19"/>
  <c r="F55" i="19"/>
  <c r="H55" i="19" s="1"/>
  <c r="H52" i="23"/>
  <c r="I52" i="23" s="1"/>
  <c r="J134" i="28"/>
  <c r="B132" i="13"/>
  <c r="F132" i="13"/>
  <c r="H131" i="13"/>
  <c r="I131" i="13"/>
  <c r="D132" i="20"/>
  <c r="G131" i="20"/>
  <c r="J130" i="20"/>
  <c r="D144" i="42" l="1"/>
  <c r="E144" i="42" s="1"/>
  <c r="G143" i="42"/>
  <c r="D61" i="42"/>
  <c r="E61" i="42" s="1"/>
  <c r="E54" i="24"/>
  <c r="F54" i="24" s="1"/>
  <c r="H54" i="24" s="1"/>
  <c r="B54" i="24"/>
  <c r="H56" i="4"/>
  <c r="I56" i="4" s="1"/>
  <c r="I49" i="29"/>
  <c r="H52" i="22"/>
  <c r="I52" i="22" s="1"/>
  <c r="I46" i="38"/>
  <c r="G57" i="3"/>
  <c r="I57" i="3" s="1"/>
  <c r="D56" i="18"/>
  <c r="E56" i="18" s="1"/>
  <c r="G55" i="18"/>
  <c r="D54" i="21"/>
  <c r="E54" i="21" s="1"/>
  <c r="F49" i="31"/>
  <c r="B49" i="31"/>
  <c r="D56" i="19"/>
  <c r="E56" i="19" s="1"/>
  <c r="F49" i="35"/>
  <c r="G49" i="35" s="1"/>
  <c r="B49" i="35"/>
  <c r="B52" i="26"/>
  <c r="F52" i="26"/>
  <c r="H52" i="26" s="1"/>
  <c r="B53" i="28"/>
  <c r="G55" i="19"/>
  <c r="I55" i="19" s="1"/>
  <c r="B53" i="23"/>
  <c r="F53" i="23"/>
  <c r="H53" i="23" s="1"/>
  <c r="B51" i="13"/>
  <c r="F50" i="29"/>
  <c r="B48" i="37"/>
  <c r="F48" i="37"/>
  <c r="G48" i="37" s="1"/>
  <c r="B49" i="34"/>
  <c r="F49" i="34"/>
  <c r="H49" i="34" s="1"/>
  <c r="B51" i="25"/>
  <c r="F51" i="25"/>
  <c r="G51" i="25" s="1"/>
  <c r="E51" i="13"/>
  <c r="F51" i="13" s="1"/>
  <c r="H53" i="21"/>
  <c r="D58" i="3"/>
  <c r="E58" i="3" s="1"/>
  <c r="D57" i="4"/>
  <c r="E57" i="4" s="1"/>
  <c r="H55" i="18"/>
  <c r="G53" i="21"/>
  <c r="F53" i="27"/>
  <c r="H53" i="27" s="1"/>
  <c r="B53" i="27"/>
  <c r="D53" i="22"/>
  <c r="E53" i="22" s="1"/>
  <c r="F47" i="38"/>
  <c r="H47" i="38" s="1"/>
  <c r="B47" i="38"/>
  <c r="B136" i="28"/>
  <c r="J131" i="13"/>
  <c r="J156" i="13" s="1"/>
  <c r="D133" i="13"/>
  <c r="E133" i="13" s="1"/>
  <c r="G132" i="13"/>
  <c r="I131" i="20"/>
  <c r="H131" i="20"/>
  <c r="B132" i="20"/>
  <c r="E132" i="20"/>
  <c r="F132" i="20" s="1"/>
  <c r="F61" i="42" l="1"/>
  <c r="B61" i="42"/>
  <c r="B144" i="42"/>
  <c r="F144" i="42"/>
  <c r="G49" i="34"/>
  <c r="I49" i="34" s="1"/>
  <c r="G54" i="24"/>
  <c r="I54" i="24" s="1"/>
  <c r="D55" i="24"/>
  <c r="I55" i="18"/>
  <c r="I53" i="21"/>
  <c r="H49" i="35"/>
  <c r="I49" i="35" s="1"/>
  <c r="G47" i="38"/>
  <c r="I47" i="38" s="1"/>
  <c r="H51" i="25"/>
  <c r="I51" i="25" s="1"/>
  <c r="H48" i="37"/>
  <c r="I48" i="37" s="1"/>
  <c r="G53" i="27"/>
  <c r="I53" i="27" s="1"/>
  <c r="D52" i="13"/>
  <c r="E52" i="13" s="1"/>
  <c r="H51" i="13"/>
  <c r="G51" i="13"/>
  <c r="F53" i="22"/>
  <c r="H53" i="22" s="1"/>
  <c r="B53" i="22"/>
  <c r="B57" i="4"/>
  <c r="F57" i="4"/>
  <c r="D50" i="31"/>
  <c r="E50" i="31" s="1"/>
  <c r="D51" i="29"/>
  <c r="E51" i="29" s="1"/>
  <c r="G49" i="31"/>
  <c r="F58" i="3"/>
  <c r="H58" i="3" s="1"/>
  <c r="B58" i="3"/>
  <c r="D50" i="34"/>
  <c r="E50" i="34" s="1"/>
  <c r="H50" i="29"/>
  <c r="D54" i="23"/>
  <c r="E54" i="23" s="1"/>
  <c r="D50" i="35"/>
  <c r="E50" i="35" s="1"/>
  <c r="G50" i="29"/>
  <c r="D53" i="26"/>
  <c r="E53" i="26" s="1"/>
  <c r="B54" i="21"/>
  <c r="F54" i="21"/>
  <c r="G54" i="21" s="1"/>
  <c r="D54" i="27"/>
  <c r="E54" i="27" s="1"/>
  <c r="G53" i="23"/>
  <c r="I53" i="23" s="1"/>
  <c r="G52" i="26"/>
  <c r="I52" i="26" s="1"/>
  <c r="B56" i="19"/>
  <c r="F56" i="19"/>
  <c r="D48" i="38"/>
  <c r="E48" i="38" s="1"/>
  <c r="F56" i="18"/>
  <c r="H56" i="18" s="1"/>
  <c r="B56" i="18"/>
  <c r="D52" i="25"/>
  <c r="E52" i="25" s="1"/>
  <c r="D49" i="37"/>
  <c r="E49" i="37" s="1"/>
  <c r="I53" i="28"/>
  <c r="H49" i="31"/>
  <c r="J135" i="28"/>
  <c r="B133" i="13"/>
  <c r="F133" i="13"/>
  <c r="I132" i="13"/>
  <c r="H132" i="13"/>
  <c r="G132" i="20"/>
  <c r="D133" i="20"/>
  <c r="E133" i="20" s="1"/>
  <c r="J131" i="20"/>
  <c r="D145" i="42" l="1"/>
  <c r="E145" i="42" s="1"/>
  <c r="G144" i="42"/>
  <c r="D62" i="42"/>
  <c r="E62" i="42" s="1"/>
  <c r="E55" i="24"/>
  <c r="F55" i="24" s="1"/>
  <c r="B55" i="24"/>
  <c r="I49" i="31"/>
  <c r="H54" i="21"/>
  <c r="I54" i="21" s="1"/>
  <c r="G56" i="18"/>
  <c r="I56" i="18" s="1"/>
  <c r="B48" i="38"/>
  <c r="F48" i="38"/>
  <c r="B49" i="37"/>
  <c r="F49" i="37"/>
  <c r="D57" i="19"/>
  <c r="E57" i="19" s="1"/>
  <c r="B54" i="27"/>
  <c r="F54" i="27"/>
  <c r="F50" i="31"/>
  <c r="G50" i="31" s="1"/>
  <c r="B50" i="31"/>
  <c r="G56" i="19"/>
  <c r="B50" i="35"/>
  <c r="F50" i="35"/>
  <c r="G50" i="35" s="1"/>
  <c r="D59" i="3"/>
  <c r="E59" i="3" s="1"/>
  <c r="D54" i="22"/>
  <c r="E54" i="22" s="1"/>
  <c r="F52" i="25"/>
  <c r="H52" i="25" s="1"/>
  <c r="B52" i="25"/>
  <c r="D55" i="21"/>
  <c r="E55" i="21" s="1"/>
  <c r="G58" i="3"/>
  <c r="I58" i="3" s="1"/>
  <c r="D58" i="4"/>
  <c r="E58" i="4" s="1"/>
  <c r="H56" i="19"/>
  <c r="B54" i="23"/>
  <c r="F54" i="23"/>
  <c r="G54" i="23" s="1"/>
  <c r="I50" i="29"/>
  <c r="H57" i="4"/>
  <c r="I51" i="13"/>
  <c r="B54" i="28"/>
  <c r="G57" i="4"/>
  <c r="D57" i="18"/>
  <c r="E57" i="18" s="1"/>
  <c r="F53" i="26"/>
  <c r="H53" i="26" s="1"/>
  <c r="B53" i="26"/>
  <c r="B50" i="34"/>
  <c r="F50" i="34"/>
  <c r="F51" i="29"/>
  <c r="G53" i="22"/>
  <c r="I53" i="22" s="1"/>
  <c r="B52" i="13"/>
  <c r="F52" i="13"/>
  <c r="G52" i="13" s="1"/>
  <c r="B137" i="28"/>
  <c r="G133" i="13"/>
  <c r="D134" i="13"/>
  <c r="E134" i="13" s="1"/>
  <c r="B133" i="20"/>
  <c r="F133" i="20"/>
  <c r="H132" i="20"/>
  <c r="I132" i="20"/>
  <c r="F62" i="42" l="1"/>
  <c r="B62" i="42"/>
  <c r="B145" i="42"/>
  <c r="F145" i="42"/>
  <c r="H55" i="24"/>
  <c r="D56" i="24"/>
  <c r="G55" i="24"/>
  <c r="G52" i="25"/>
  <c r="I52" i="25" s="1"/>
  <c r="H50" i="31"/>
  <c r="I50" i="31" s="1"/>
  <c r="J132" i="20"/>
  <c r="G53" i="26"/>
  <c r="I53" i="26" s="1"/>
  <c r="H50" i="35"/>
  <c r="I50" i="35" s="1"/>
  <c r="I57" i="4"/>
  <c r="D51" i="34"/>
  <c r="E51" i="34" s="1"/>
  <c r="F58" i="4"/>
  <c r="G58" i="4" s="1"/>
  <c r="B58" i="4"/>
  <c r="D55" i="27"/>
  <c r="E55" i="27" s="1"/>
  <c r="D50" i="37"/>
  <c r="E50" i="37" s="1"/>
  <c r="D53" i="13"/>
  <c r="E53" i="13" s="1"/>
  <c r="B57" i="18"/>
  <c r="F57" i="18"/>
  <c r="H52" i="13"/>
  <c r="I52" i="13" s="1"/>
  <c r="H50" i="34"/>
  <c r="G54" i="27"/>
  <c r="G50" i="34"/>
  <c r="D55" i="23"/>
  <c r="E55" i="23" s="1"/>
  <c r="B55" i="21"/>
  <c r="F55" i="21"/>
  <c r="H55" i="21" s="1"/>
  <c r="F54" i="22"/>
  <c r="H54" i="22" s="1"/>
  <c r="B54" i="22"/>
  <c r="H54" i="27"/>
  <c r="H54" i="23"/>
  <c r="I54" i="23" s="1"/>
  <c r="D49" i="38"/>
  <c r="E49" i="38" s="1"/>
  <c r="D52" i="29"/>
  <c r="E52" i="29" s="1"/>
  <c r="B59" i="3"/>
  <c r="F59" i="3"/>
  <c r="G59" i="3" s="1"/>
  <c r="F57" i="19"/>
  <c r="H57" i="19" s="1"/>
  <c r="B57" i="19"/>
  <c r="H51" i="29"/>
  <c r="I56" i="19"/>
  <c r="H49" i="37"/>
  <c r="G48" i="38"/>
  <c r="G51" i="29"/>
  <c r="D54" i="26"/>
  <c r="E54" i="26" s="1"/>
  <c r="D53" i="25"/>
  <c r="E53" i="25" s="1"/>
  <c r="D51" i="35"/>
  <c r="E51" i="35" s="1"/>
  <c r="D51" i="31"/>
  <c r="E51" i="31" s="1"/>
  <c r="G49" i="37"/>
  <c r="H48" i="38"/>
  <c r="J136" i="28"/>
  <c r="H133" i="13"/>
  <c r="I133" i="13"/>
  <c r="F134" i="13"/>
  <c r="B134" i="13"/>
  <c r="D134" i="20"/>
  <c r="G133" i="20"/>
  <c r="D146" i="42" l="1"/>
  <c r="E146" i="42" s="1"/>
  <c r="G145" i="42"/>
  <c r="D63" i="42"/>
  <c r="I55" i="24"/>
  <c r="E56" i="24"/>
  <c r="F56" i="24" s="1"/>
  <c r="G56" i="24" s="1"/>
  <c r="B56" i="24"/>
  <c r="I54" i="28"/>
  <c r="I51" i="29"/>
  <c r="I54" i="27"/>
  <c r="I48" i="38"/>
  <c r="D58" i="18"/>
  <c r="E58" i="18" s="1"/>
  <c r="B55" i="27"/>
  <c r="F55" i="27"/>
  <c r="G55" i="27" s="1"/>
  <c r="F54" i="26"/>
  <c r="H54" i="26" s="1"/>
  <c r="B54" i="26"/>
  <c r="B49" i="38"/>
  <c r="F49" i="38"/>
  <c r="G49" i="38" s="1"/>
  <c r="D55" i="22"/>
  <c r="E55" i="22" s="1"/>
  <c r="B55" i="28"/>
  <c r="H57" i="18"/>
  <c r="B51" i="31"/>
  <c r="F51" i="31"/>
  <c r="D56" i="21"/>
  <c r="E56" i="21" s="1"/>
  <c r="D59" i="4"/>
  <c r="E59" i="4" s="1"/>
  <c r="I49" i="37"/>
  <c r="D58" i="19"/>
  <c r="E58" i="19" s="1"/>
  <c r="G55" i="21"/>
  <c r="I55" i="21" s="1"/>
  <c r="I50" i="34"/>
  <c r="F53" i="13"/>
  <c r="G53" i="13" s="1"/>
  <c r="B53" i="13"/>
  <c r="H58" i="4"/>
  <c r="I58" i="4" s="1"/>
  <c r="F51" i="35"/>
  <c r="B51" i="35"/>
  <c r="G57" i="19"/>
  <c r="I57" i="19" s="1"/>
  <c r="D60" i="3"/>
  <c r="E60" i="3" s="1"/>
  <c r="G54" i="22"/>
  <c r="I54" i="22" s="1"/>
  <c r="B55" i="23"/>
  <c r="F55" i="23"/>
  <c r="G55" i="23" s="1"/>
  <c r="F50" i="37"/>
  <c r="G50" i="37" s="1"/>
  <c r="B50" i="37"/>
  <c r="F51" i="34"/>
  <c r="G51" i="34" s="1"/>
  <c r="B51" i="34"/>
  <c r="F53" i="25"/>
  <c r="G53" i="25" s="1"/>
  <c r="B53" i="25"/>
  <c r="H59" i="3"/>
  <c r="I59" i="3" s="1"/>
  <c r="F52" i="29"/>
  <c r="H52" i="29" s="1"/>
  <c r="G57" i="18"/>
  <c r="B138" i="28"/>
  <c r="D135" i="13"/>
  <c r="E135" i="13" s="1"/>
  <c r="G134" i="13"/>
  <c r="B134" i="20"/>
  <c r="H133" i="20"/>
  <c r="I133" i="20"/>
  <c r="E134" i="20"/>
  <c r="F134" i="20" s="1"/>
  <c r="B63" i="42" l="1"/>
  <c r="E63" i="42"/>
  <c r="F63" i="42" s="1"/>
  <c r="B146" i="42"/>
  <c r="F146" i="42"/>
  <c r="H49" i="38"/>
  <c r="I49" i="38" s="1"/>
  <c r="H56" i="24"/>
  <c r="I56" i="24" s="1"/>
  <c r="D57" i="24"/>
  <c r="H53" i="25"/>
  <c r="I53" i="25" s="1"/>
  <c r="H55" i="23"/>
  <c r="I55" i="23" s="1"/>
  <c r="H50" i="37"/>
  <c r="I50" i="37" s="1"/>
  <c r="G54" i="26"/>
  <c r="I54" i="26" s="1"/>
  <c r="D52" i="35"/>
  <c r="E52" i="35" s="1"/>
  <c r="F56" i="21"/>
  <c r="H56" i="21" s="1"/>
  <c r="B56" i="21"/>
  <c r="D52" i="34"/>
  <c r="E52" i="34" s="1"/>
  <c r="H51" i="35"/>
  <c r="I57" i="18"/>
  <c r="D56" i="27"/>
  <c r="E56" i="27" s="1"/>
  <c r="D50" i="38"/>
  <c r="E50" i="38" s="1"/>
  <c r="H55" i="27"/>
  <c r="I55" i="27" s="1"/>
  <c r="F58" i="19"/>
  <c r="B58" i="19"/>
  <c r="D52" i="31"/>
  <c r="E52" i="31" s="1"/>
  <c r="B60" i="3"/>
  <c r="F60" i="3"/>
  <c r="G60" i="3" s="1"/>
  <c r="H51" i="31"/>
  <c r="D54" i="25"/>
  <c r="E54" i="25" s="1"/>
  <c r="D51" i="37"/>
  <c r="E51" i="37" s="1"/>
  <c r="D54" i="13"/>
  <c r="G51" i="31"/>
  <c r="I55" i="28"/>
  <c r="F58" i="18"/>
  <c r="G58" i="18" s="1"/>
  <c r="B58" i="18"/>
  <c r="D53" i="29"/>
  <c r="E53" i="29" s="1"/>
  <c r="H51" i="34"/>
  <c r="I51" i="34" s="1"/>
  <c r="H53" i="13"/>
  <c r="I53" i="13" s="1"/>
  <c r="B59" i="4"/>
  <c r="F59" i="4"/>
  <c r="H59" i="4" s="1"/>
  <c r="G52" i="29"/>
  <c r="I52" i="29" s="1"/>
  <c r="D56" i="23"/>
  <c r="E56" i="23" s="1"/>
  <c r="G51" i="35"/>
  <c r="B55" i="22"/>
  <c r="F55" i="22"/>
  <c r="D55" i="26"/>
  <c r="E55" i="26" s="1"/>
  <c r="J137" i="28"/>
  <c r="H134" i="13"/>
  <c r="I134" i="13"/>
  <c r="B135" i="13"/>
  <c r="F135" i="13"/>
  <c r="J133" i="20"/>
  <c r="G134" i="20"/>
  <c r="D135" i="20"/>
  <c r="E135" i="20" s="1"/>
  <c r="D64" i="42" l="1"/>
  <c r="E64" i="42" s="1"/>
  <c r="D147" i="42"/>
  <c r="E147" i="42" s="1"/>
  <c r="G146" i="42"/>
  <c r="G59" i="4"/>
  <c r="I59" i="4" s="1"/>
  <c r="E57" i="24"/>
  <c r="F57" i="24" s="1"/>
  <c r="B57" i="24"/>
  <c r="H58" i="18"/>
  <c r="I58" i="18" s="1"/>
  <c r="G56" i="21"/>
  <c r="I56" i="21" s="1"/>
  <c r="I51" i="31"/>
  <c r="H60" i="3"/>
  <c r="I60" i="3" s="1"/>
  <c r="D56" i="22"/>
  <c r="E56" i="22" s="1"/>
  <c r="F53" i="29"/>
  <c r="H53" i="29" s="1"/>
  <c r="B54" i="13"/>
  <c r="D59" i="19"/>
  <c r="E59" i="19" s="1"/>
  <c r="F52" i="34"/>
  <c r="G52" i="34" s="1"/>
  <c r="B52" i="34"/>
  <c r="G55" i="22"/>
  <c r="F51" i="37"/>
  <c r="H51" i="37" s="1"/>
  <c r="B51" i="37"/>
  <c r="H55" i="22"/>
  <c r="D60" i="4"/>
  <c r="E60" i="4" s="1"/>
  <c r="F50" i="38"/>
  <c r="G50" i="38" s="1"/>
  <c r="B50" i="38"/>
  <c r="D59" i="18"/>
  <c r="B54" i="25"/>
  <c r="F54" i="25"/>
  <c r="F52" i="31"/>
  <c r="G52" i="31" s="1"/>
  <c r="B52" i="31"/>
  <c r="F56" i="27"/>
  <c r="G56" i="27" s="1"/>
  <c r="B56" i="27"/>
  <c r="D57" i="21"/>
  <c r="E57" i="21" s="1"/>
  <c r="B56" i="23"/>
  <c r="F56" i="23"/>
  <c r="G56" i="23" s="1"/>
  <c r="B56" i="28"/>
  <c r="G58" i="19"/>
  <c r="I51" i="35"/>
  <c r="F52" i="35"/>
  <c r="G52" i="35" s="1"/>
  <c r="B52" i="35"/>
  <c r="F55" i="26"/>
  <c r="B55" i="26"/>
  <c r="E54" i="13"/>
  <c r="F54" i="13" s="1"/>
  <c r="D61" i="3"/>
  <c r="E61" i="3" s="1"/>
  <c r="H58" i="19"/>
  <c r="B139" i="28"/>
  <c r="D136" i="13"/>
  <c r="E136" i="13" s="1"/>
  <c r="G135" i="13"/>
  <c r="B135" i="20"/>
  <c r="F135" i="20"/>
  <c r="H134" i="20"/>
  <c r="I134" i="20"/>
  <c r="B64" i="42" l="1"/>
  <c r="F64" i="42"/>
  <c r="B147" i="42"/>
  <c r="F147" i="42"/>
  <c r="H57" i="24"/>
  <c r="D58" i="24"/>
  <c r="G57" i="24"/>
  <c r="G53" i="29"/>
  <c r="I53" i="29" s="1"/>
  <c r="H50" i="38"/>
  <c r="I50" i="38" s="1"/>
  <c r="J138" i="28"/>
  <c r="H56" i="23"/>
  <c r="I56" i="23" s="1"/>
  <c r="I56" i="28"/>
  <c r="H56" i="27"/>
  <c r="I56" i="27" s="1"/>
  <c r="H52" i="34"/>
  <c r="I52" i="34" s="1"/>
  <c r="H52" i="35"/>
  <c r="I52" i="35" s="1"/>
  <c r="D55" i="13"/>
  <c r="H54" i="13"/>
  <c r="G54" i="13"/>
  <c r="D56" i="26"/>
  <c r="E56" i="26" s="1"/>
  <c r="B59" i="18"/>
  <c r="G55" i="26"/>
  <c r="I58" i="19"/>
  <c r="B57" i="21"/>
  <c r="F57" i="21"/>
  <c r="G57" i="21" s="1"/>
  <c r="D53" i="31"/>
  <c r="E53" i="31" s="1"/>
  <c r="D52" i="37"/>
  <c r="E52" i="37" s="1"/>
  <c r="D55" i="25"/>
  <c r="E55" i="25" s="1"/>
  <c r="G51" i="37"/>
  <c r="I51" i="37" s="1"/>
  <c r="J134" i="20"/>
  <c r="B61" i="3"/>
  <c r="F61" i="3"/>
  <c r="H54" i="25"/>
  <c r="D51" i="38"/>
  <c r="E51" i="38" s="1"/>
  <c r="D53" i="34"/>
  <c r="E53" i="34" s="1"/>
  <c r="D53" i="35"/>
  <c r="E53" i="35" s="1"/>
  <c r="D54" i="29"/>
  <c r="E54" i="29" s="1"/>
  <c r="D57" i="27"/>
  <c r="E57" i="27" s="1"/>
  <c r="G54" i="25"/>
  <c r="F60" i="4"/>
  <c r="H60" i="4" s="1"/>
  <c r="B60" i="4"/>
  <c r="B59" i="19"/>
  <c r="F59" i="19"/>
  <c r="H59" i="19" s="1"/>
  <c r="H55" i="26"/>
  <c r="D57" i="23"/>
  <c r="E57" i="23" s="1"/>
  <c r="H52" i="31"/>
  <c r="I52" i="31" s="1"/>
  <c r="E59" i="18"/>
  <c r="F59" i="18" s="1"/>
  <c r="I55" i="22"/>
  <c r="B56" i="22"/>
  <c r="F56" i="22"/>
  <c r="H56" i="22" s="1"/>
  <c r="F136" i="13"/>
  <c r="B136" i="13"/>
  <c r="H135" i="13"/>
  <c r="I135" i="13"/>
  <c r="G135" i="20"/>
  <c r="D136" i="20"/>
  <c r="E136" i="20" s="1"/>
  <c r="D65" i="42" l="1"/>
  <c r="E65" i="42" s="1"/>
  <c r="D148" i="42"/>
  <c r="G147" i="42"/>
  <c r="I57" i="24"/>
  <c r="E58" i="24"/>
  <c r="F58" i="24" s="1"/>
  <c r="G58" i="24" s="1"/>
  <c r="B58" i="24"/>
  <c r="H57" i="21"/>
  <c r="I57" i="21" s="1"/>
  <c r="G59" i="19"/>
  <c r="I59" i="19" s="1"/>
  <c r="I55" i="26"/>
  <c r="D60" i="18"/>
  <c r="E60" i="18" s="1"/>
  <c r="H59" i="18"/>
  <c r="G59" i="18"/>
  <c r="F54" i="29"/>
  <c r="B57" i="28"/>
  <c r="B55" i="25"/>
  <c r="F55" i="25"/>
  <c r="D57" i="22"/>
  <c r="E57" i="22" s="1"/>
  <c r="D62" i="3"/>
  <c r="D61" i="4"/>
  <c r="E61" i="4" s="1"/>
  <c r="G61" i="3"/>
  <c r="B52" i="37"/>
  <c r="F52" i="37"/>
  <c r="H52" i="37" s="1"/>
  <c r="F56" i="26"/>
  <c r="G56" i="26" s="1"/>
  <c r="B56" i="26"/>
  <c r="B53" i="35"/>
  <c r="F53" i="35"/>
  <c r="H53" i="35" s="1"/>
  <c r="H61" i="3"/>
  <c r="D60" i="19"/>
  <c r="E60" i="19" s="1"/>
  <c r="F57" i="27"/>
  <c r="H57" i="27" s="1"/>
  <c r="B57" i="27"/>
  <c r="F51" i="38"/>
  <c r="G51" i="38" s="1"/>
  <c r="B51" i="38"/>
  <c r="F53" i="31"/>
  <c r="G53" i="31" s="1"/>
  <c r="B53" i="31"/>
  <c r="I54" i="13"/>
  <c r="I54" i="25"/>
  <c r="B55" i="13"/>
  <c r="G56" i="22"/>
  <c r="I56" i="22" s="1"/>
  <c r="F57" i="23"/>
  <c r="B57" i="23"/>
  <c r="G60" i="4"/>
  <c r="I60" i="4" s="1"/>
  <c r="F53" i="34"/>
  <c r="G53" i="34" s="1"/>
  <c r="B53" i="34"/>
  <c r="D58" i="21"/>
  <c r="E55" i="13"/>
  <c r="F55" i="13" s="1"/>
  <c r="B140" i="28"/>
  <c r="D137" i="13"/>
  <c r="G136" i="13"/>
  <c r="F136" i="20"/>
  <c r="B136" i="20"/>
  <c r="I135" i="20"/>
  <c r="H135" i="20"/>
  <c r="B148" i="42" l="1"/>
  <c r="E148" i="42"/>
  <c r="F148" i="42" s="1"/>
  <c r="B65" i="42"/>
  <c r="F65" i="42"/>
  <c r="H58" i="24"/>
  <c r="I58" i="24" s="1"/>
  <c r="D59" i="24"/>
  <c r="J139" i="28"/>
  <c r="G53" i="35"/>
  <c r="I53" i="35" s="1"/>
  <c r="H53" i="31"/>
  <c r="I53" i="31" s="1"/>
  <c r="H51" i="38"/>
  <c r="I51" i="38" s="1"/>
  <c r="I61" i="3"/>
  <c r="H56" i="26"/>
  <c r="I56" i="26" s="1"/>
  <c r="G52" i="37"/>
  <c r="I52" i="37" s="1"/>
  <c r="D56" i="13"/>
  <c r="G55" i="13"/>
  <c r="H55" i="13"/>
  <c r="B58" i="21"/>
  <c r="D58" i="23"/>
  <c r="B62" i="3"/>
  <c r="H57" i="23"/>
  <c r="D54" i="35"/>
  <c r="E54" i="35" s="1"/>
  <c r="I59" i="18"/>
  <c r="D54" i="34"/>
  <c r="E54" i="34" s="1"/>
  <c r="D53" i="37"/>
  <c r="E53" i="37" s="1"/>
  <c r="D58" i="27"/>
  <c r="E58" i="27" s="1"/>
  <c r="F57" i="22"/>
  <c r="B57" i="22"/>
  <c r="B60" i="18"/>
  <c r="F60" i="18"/>
  <c r="H60" i="18" s="1"/>
  <c r="H53" i="34"/>
  <c r="I53" i="34" s="1"/>
  <c r="D54" i="31"/>
  <c r="E54" i="31" s="1"/>
  <c r="G57" i="27"/>
  <c r="I57" i="27" s="1"/>
  <c r="D56" i="25"/>
  <c r="E56" i="25" s="1"/>
  <c r="D55" i="29"/>
  <c r="E55" i="29" s="1"/>
  <c r="H55" i="25"/>
  <c r="G54" i="29"/>
  <c r="F60" i="19"/>
  <c r="H60" i="19" s="1"/>
  <c r="B60" i="19"/>
  <c r="D57" i="26"/>
  <c r="E57" i="26" s="1"/>
  <c r="F61" i="4"/>
  <c r="H61" i="4" s="1"/>
  <c r="B61" i="4"/>
  <c r="G55" i="25"/>
  <c r="H54" i="29"/>
  <c r="E58" i="21"/>
  <c r="F58" i="21" s="1"/>
  <c r="G57" i="23"/>
  <c r="D52" i="38"/>
  <c r="E52" i="38" s="1"/>
  <c r="E62" i="3"/>
  <c r="F62" i="3" s="1"/>
  <c r="B137" i="13"/>
  <c r="E137" i="13"/>
  <c r="F137" i="13" s="1"/>
  <c r="H136" i="13"/>
  <c r="I136" i="13"/>
  <c r="D137" i="20"/>
  <c r="E137" i="20" s="1"/>
  <c r="G136" i="20"/>
  <c r="J135" i="20"/>
  <c r="D149" i="42" l="1"/>
  <c r="E149" i="42" s="1"/>
  <c r="G148" i="42"/>
  <c r="D66" i="42"/>
  <c r="E66" i="42" s="1"/>
  <c r="G60" i="18"/>
  <c r="I60" i="18" s="1"/>
  <c r="E59" i="24"/>
  <c r="F59" i="24" s="1"/>
  <c r="B59" i="24"/>
  <c r="G61" i="4"/>
  <c r="I61" i="4" s="1"/>
  <c r="I55" i="13"/>
  <c r="I54" i="29"/>
  <c r="I57" i="28"/>
  <c r="G60" i="19"/>
  <c r="I60" i="19" s="1"/>
  <c r="I55" i="25"/>
  <c r="D63" i="3"/>
  <c r="E63" i="3" s="1"/>
  <c r="G62" i="3"/>
  <c r="H62" i="3"/>
  <c r="D59" i="21"/>
  <c r="E59" i="21" s="1"/>
  <c r="G58" i="21"/>
  <c r="H58" i="21"/>
  <c r="B54" i="34"/>
  <c r="F54" i="34"/>
  <c r="H54" i="34" s="1"/>
  <c r="B57" i="26"/>
  <c r="F57" i="26"/>
  <c r="D58" i="22"/>
  <c r="E58" i="22" s="1"/>
  <c r="F55" i="29"/>
  <c r="H55" i="29" s="1"/>
  <c r="D61" i="18"/>
  <c r="B58" i="27"/>
  <c r="F58" i="27"/>
  <c r="H58" i="27" s="1"/>
  <c r="F56" i="25"/>
  <c r="H56" i="25" s="1"/>
  <c r="B56" i="25"/>
  <c r="B54" i="35"/>
  <c r="F54" i="35"/>
  <c r="G54" i="35" s="1"/>
  <c r="D61" i="19"/>
  <c r="E61" i="19" s="1"/>
  <c r="I57" i="23"/>
  <c r="B58" i="23"/>
  <c r="G57" i="22"/>
  <c r="F53" i="37"/>
  <c r="G53" i="37" s="1"/>
  <c r="B53" i="37"/>
  <c r="E58" i="23"/>
  <c r="F58" i="23" s="1"/>
  <c r="B56" i="13"/>
  <c r="F52" i="38"/>
  <c r="H52" i="38" s="1"/>
  <c r="B52" i="38"/>
  <c r="D62" i="4"/>
  <c r="E62" i="4" s="1"/>
  <c r="F54" i="31"/>
  <c r="G54" i="31" s="1"/>
  <c r="B54" i="31"/>
  <c r="H57" i="22"/>
  <c r="B58" i="28"/>
  <c r="E56" i="13"/>
  <c r="F56" i="13" s="1"/>
  <c r="B141" i="28"/>
  <c r="D138" i="13"/>
  <c r="E138" i="13" s="1"/>
  <c r="G137" i="13"/>
  <c r="I136" i="20"/>
  <c r="H136" i="20"/>
  <c r="F137" i="20"/>
  <c r="B137" i="20"/>
  <c r="B66" i="42" l="1"/>
  <c r="F66" i="42"/>
  <c r="B149" i="42"/>
  <c r="F149" i="42"/>
  <c r="G54" i="34"/>
  <c r="I54" i="34" s="1"/>
  <c r="D60" i="24"/>
  <c r="E60" i="24" s="1"/>
  <c r="F60" i="24" s="1"/>
  <c r="D61" i="24" s="1"/>
  <c r="H59" i="24"/>
  <c r="G59" i="24"/>
  <c r="J140" i="28"/>
  <c r="H54" i="35"/>
  <c r="I54" i="35" s="1"/>
  <c r="I62" i="3"/>
  <c r="H58" i="23"/>
  <c r="G58" i="23"/>
  <c r="D57" i="13"/>
  <c r="E57" i="13" s="1"/>
  <c r="H56" i="13"/>
  <c r="G56" i="13"/>
  <c r="B61" i="18"/>
  <c r="D58" i="26"/>
  <c r="E58" i="26" s="1"/>
  <c r="I58" i="21"/>
  <c r="D53" i="38"/>
  <c r="E53" i="38" s="1"/>
  <c r="D57" i="25"/>
  <c r="D55" i="31"/>
  <c r="E55" i="31" s="1"/>
  <c r="D54" i="37"/>
  <c r="E54" i="37" s="1"/>
  <c r="F61" i="19"/>
  <c r="G61" i="19" s="1"/>
  <c r="B61" i="19"/>
  <c r="G56" i="25"/>
  <c r="I56" i="25" s="1"/>
  <c r="D56" i="29"/>
  <c r="E56" i="29" s="1"/>
  <c r="H57" i="26"/>
  <c r="H54" i="31"/>
  <c r="I54" i="31" s="1"/>
  <c r="G55" i="29"/>
  <c r="I55" i="29" s="1"/>
  <c r="G57" i="26"/>
  <c r="F59" i="21"/>
  <c r="H59" i="21" s="1"/>
  <c r="B59" i="21"/>
  <c r="D59" i="27"/>
  <c r="E59" i="27" s="1"/>
  <c r="B62" i="4"/>
  <c r="F62" i="4"/>
  <c r="D55" i="35"/>
  <c r="E55" i="35" s="1"/>
  <c r="G58" i="27"/>
  <c r="I58" i="27" s="1"/>
  <c r="I58" i="28"/>
  <c r="D55" i="34"/>
  <c r="E55" i="34" s="1"/>
  <c r="I57" i="22"/>
  <c r="G52" i="38"/>
  <c r="I52" i="38" s="1"/>
  <c r="H53" i="37"/>
  <c r="I53" i="37" s="1"/>
  <c r="D59" i="23"/>
  <c r="E59" i="23" s="1"/>
  <c r="E61" i="18"/>
  <c r="F61" i="18" s="1"/>
  <c r="B58" i="22"/>
  <c r="F58" i="22"/>
  <c r="G58" i="22" s="1"/>
  <c r="B63" i="3"/>
  <c r="F63" i="3"/>
  <c r="G63" i="3" s="1"/>
  <c r="H137" i="13"/>
  <c r="I137" i="13"/>
  <c r="F138" i="13"/>
  <c r="B138" i="13"/>
  <c r="J136" i="20"/>
  <c r="G137" i="20"/>
  <c r="D138" i="20"/>
  <c r="E138" i="20" s="1"/>
  <c r="D67" i="42" l="1"/>
  <c r="E67" i="42" s="1"/>
  <c r="D150" i="42"/>
  <c r="G149" i="42"/>
  <c r="I59" i="24"/>
  <c r="E61" i="24"/>
  <c r="F61" i="24" s="1"/>
  <c r="B61" i="24"/>
  <c r="B60" i="24"/>
  <c r="G60" i="24"/>
  <c r="H60" i="24"/>
  <c r="G59" i="21"/>
  <c r="I59" i="21" s="1"/>
  <c r="I58" i="23"/>
  <c r="I57" i="26"/>
  <c r="D62" i="18"/>
  <c r="E62" i="18" s="1"/>
  <c r="H61" i="18"/>
  <c r="G61" i="18"/>
  <c r="B55" i="35"/>
  <c r="F55" i="35"/>
  <c r="H55" i="35" s="1"/>
  <c r="B57" i="25"/>
  <c r="D64" i="3"/>
  <c r="E64" i="3" s="1"/>
  <c r="D63" i="4"/>
  <c r="E63" i="4" s="1"/>
  <c r="B59" i="28"/>
  <c r="D62" i="19"/>
  <c r="E62" i="19" s="1"/>
  <c r="B59" i="23"/>
  <c r="F59" i="23"/>
  <c r="F53" i="38"/>
  <c r="G53" i="38" s="1"/>
  <c r="B53" i="38"/>
  <c r="H63" i="3"/>
  <c r="I63" i="3" s="1"/>
  <c r="G62" i="4"/>
  <c r="B54" i="37"/>
  <c r="F54" i="37"/>
  <c r="H54" i="37" s="1"/>
  <c r="H62" i="4"/>
  <c r="D60" i="21"/>
  <c r="E60" i="21" s="1"/>
  <c r="F56" i="29"/>
  <c r="D59" i="22"/>
  <c r="E59" i="22" s="1"/>
  <c r="B55" i="31"/>
  <c r="F55" i="31"/>
  <c r="B58" i="26"/>
  <c r="F58" i="26"/>
  <c r="G58" i="26" s="1"/>
  <c r="I56" i="13"/>
  <c r="B59" i="27"/>
  <c r="F59" i="27"/>
  <c r="H59" i="27" s="1"/>
  <c r="H61" i="19"/>
  <c r="I61" i="19" s="1"/>
  <c r="H58" i="22"/>
  <c r="I58" i="22" s="1"/>
  <c r="B55" i="34"/>
  <c r="F55" i="34"/>
  <c r="H55" i="34" s="1"/>
  <c r="E57" i="25"/>
  <c r="F57" i="25" s="1"/>
  <c r="B57" i="13"/>
  <c r="F57" i="13"/>
  <c r="B142" i="28"/>
  <c r="G138" i="13"/>
  <c r="D139" i="13"/>
  <c r="H137" i="20"/>
  <c r="I137" i="20"/>
  <c r="F138" i="20"/>
  <c r="B138" i="20"/>
  <c r="B150" i="42" l="1"/>
  <c r="E150" i="42"/>
  <c r="F150" i="42" s="1"/>
  <c r="F67" i="42"/>
  <c r="B67" i="42"/>
  <c r="I60" i="24"/>
  <c r="G61" i="24"/>
  <c r="D62" i="24"/>
  <c r="H61" i="24"/>
  <c r="J137" i="20"/>
  <c r="I62" i="4"/>
  <c r="G55" i="34"/>
  <c r="I55" i="34" s="1"/>
  <c r="H53" i="38"/>
  <c r="I53" i="38" s="1"/>
  <c r="G59" i="27"/>
  <c r="I59" i="27" s="1"/>
  <c r="I59" i="28"/>
  <c r="D58" i="25"/>
  <c r="E58" i="25" s="1"/>
  <c r="G57" i="25"/>
  <c r="H57" i="25"/>
  <c r="D56" i="31"/>
  <c r="E56" i="31" s="1"/>
  <c r="D57" i="29"/>
  <c r="E57" i="29" s="1"/>
  <c r="D60" i="23"/>
  <c r="E60" i="23" s="1"/>
  <c r="F63" i="4"/>
  <c r="H63" i="4" s="1"/>
  <c r="B63" i="4"/>
  <c r="D56" i="35"/>
  <c r="E56" i="35" s="1"/>
  <c r="D58" i="13"/>
  <c r="E58" i="13" s="1"/>
  <c r="D59" i="26"/>
  <c r="E59" i="26" s="1"/>
  <c r="F60" i="21"/>
  <c r="G60" i="21" s="1"/>
  <c r="B60" i="21"/>
  <c r="B62" i="19"/>
  <c r="F62" i="19"/>
  <c r="H62" i="19" s="1"/>
  <c r="B64" i="3"/>
  <c r="F64" i="3"/>
  <c r="H64" i="3" s="1"/>
  <c r="G55" i="35"/>
  <c r="I55" i="35" s="1"/>
  <c r="G57" i="13"/>
  <c r="H58" i="26"/>
  <c r="I58" i="26" s="1"/>
  <c r="H57" i="13"/>
  <c r="F59" i="22"/>
  <c r="G59" i="22" s="1"/>
  <c r="B59" i="22"/>
  <c r="D55" i="37"/>
  <c r="E55" i="37" s="1"/>
  <c r="D54" i="38"/>
  <c r="E54" i="38" s="1"/>
  <c r="I61" i="18"/>
  <c r="H55" i="31"/>
  <c r="H56" i="29"/>
  <c r="G59" i="23"/>
  <c r="D56" i="34"/>
  <c r="E56" i="34" s="1"/>
  <c r="D60" i="27"/>
  <c r="E60" i="27" s="1"/>
  <c r="G55" i="31"/>
  <c r="G56" i="29"/>
  <c r="G54" i="37"/>
  <c r="I54" i="37" s="1"/>
  <c r="H59" i="23"/>
  <c r="F62" i="18"/>
  <c r="H62" i="18" s="1"/>
  <c r="B62" i="18"/>
  <c r="J141" i="28"/>
  <c r="B139" i="13"/>
  <c r="E139" i="13"/>
  <c r="F139" i="13" s="1"/>
  <c r="I138" i="13"/>
  <c r="H138" i="13"/>
  <c r="D139" i="20"/>
  <c r="E139" i="20" s="1"/>
  <c r="G138" i="20"/>
  <c r="D151" i="42" l="1"/>
  <c r="E151" i="42" s="1"/>
  <c r="G150" i="42"/>
  <c r="D68" i="42"/>
  <c r="E68" i="42" s="1"/>
  <c r="I61" i="24"/>
  <c r="E62" i="24"/>
  <c r="F62" i="24" s="1"/>
  <c r="G62" i="24" s="1"/>
  <c r="B62" i="24"/>
  <c r="H59" i="22"/>
  <c r="I59" i="22" s="1"/>
  <c r="I59" i="23"/>
  <c r="G62" i="18"/>
  <c r="I62" i="18" s="1"/>
  <c r="G64" i="3"/>
  <c r="I64" i="3" s="1"/>
  <c r="G62" i="19"/>
  <c r="I62" i="19" s="1"/>
  <c r="I57" i="25"/>
  <c r="G63" i="4"/>
  <c r="I63" i="4" s="1"/>
  <c r="I55" i="31"/>
  <c r="B56" i="35"/>
  <c r="F56" i="35"/>
  <c r="G56" i="35" s="1"/>
  <c r="D61" i="21"/>
  <c r="E61" i="21" s="1"/>
  <c r="F57" i="29"/>
  <c r="G57" i="29" s="1"/>
  <c r="D63" i="18"/>
  <c r="E63" i="18" s="1"/>
  <c r="B60" i="27"/>
  <c r="F60" i="27"/>
  <c r="G60" i="27" s="1"/>
  <c r="D60" i="22"/>
  <c r="E60" i="22" s="1"/>
  <c r="B59" i="26"/>
  <c r="F59" i="26"/>
  <c r="H59" i="26" s="1"/>
  <c r="B56" i="31"/>
  <c r="F56" i="31"/>
  <c r="B60" i="28"/>
  <c r="B56" i="34"/>
  <c r="F56" i="34"/>
  <c r="I57" i="13"/>
  <c r="D65" i="3"/>
  <c r="E65" i="3" s="1"/>
  <c r="D64" i="4"/>
  <c r="E64" i="4" s="1"/>
  <c r="B54" i="38"/>
  <c r="F54" i="38"/>
  <c r="H54" i="38" s="1"/>
  <c r="B58" i="13"/>
  <c r="F58" i="13"/>
  <c r="I56" i="29"/>
  <c r="B55" i="37"/>
  <c r="F55" i="37"/>
  <c r="H55" i="37" s="1"/>
  <c r="D63" i="19"/>
  <c r="E63" i="19" s="1"/>
  <c r="H60" i="21"/>
  <c r="I60" i="21" s="1"/>
  <c r="F60" i="23"/>
  <c r="H60" i="23" s="1"/>
  <c r="B60" i="23"/>
  <c r="B58" i="25"/>
  <c r="F58" i="25"/>
  <c r="H58" i="25" s="1"/>
  <c r="B143" i="28"/>
  <c r="D140" i="13"/>
  <c r="E140" i="13" s="1"/>
  <c r="G139" i="13"/>
  <c r="F139" i="20"/>
  <c r="B139" i="20"/>
  <c r="I138" i="20"/>
  <c r="H138" i="20"/>
  <c r="B68" i="42" l="1"/>
  <c r="F68" i="42"/>
  <c r="B151" i="42"/>
  <c r="F151" i="42"/>
  <c r="H62" i="24"/>
  <c r="I62" i="24" s="1"/>
  <c r="D63" i="24"/>
  <c r="G59" i="26"/>
  <c r="I59" i="26" s="1"/>
  <c r="H56" i="35"/>
  <c r="I56" i="35" s="1"/>
  <c r="G55" i="37"/>
  <c r="I55" i="37" s="1"/>
  <c r="G58" i="25"/>
  <c r="I58" i="25" s="1"/>
  <c r="I60" i="28"/>
  <c r="G60" i="23"/>
  <c r="I60" i="23" s="1"/>
  <c r="B65" i="3"/>
  <c r="F65" i="3"/>
  <c r="D61" i="27"/>
  <c r="E61" i="27" s="1"/>
  <c r="B61" i="21"/>
  <c r="F61" i="21"/>
  <c r="D55" i="38"/>
  <c r="E55" i="38" s="1"/>
  <c r="D60" i="26"/>
  <c r="E60" i="26" s="1"/>
  <c r="D61" i="23"/>
  <c r="E61" i="23" s="1"/>
  <c r="D57" i="34"/>
  <c r="E57" i="34" s="1"/>
  <c r="D57" i="31"/>
  <c r="E57" i="31" s="1"/>
  <c r="D59" i="13"/>
  <c r="E59" i="13" s="1"/>
  <c r="H56" i="31"/>
  <c r="B63" i="18"/>
  <c r="F63" i="18"/>
  <c r="H63" i="18" s="1"/>
  <c r="G54" i="38"/>
  <c r="I54" i="38" s="1"/>
  <c r="G56" i="34"/>
  <c r="B60" i="22"/>
  <c r="F60" i="22"/>
  <c r="G60" i="22" s="1"/>
  <c r="D57" i="35"/>
  <c r="E57" i="35" s="1"/>
  <c r="D59" i="25"/>
  <c r="E59" i="25" s="1"/>
  <c r="B63" i="19"/>
  <c r="F63" i="19"/>
  <c r="G63" i="19" s="1"/>
  <c r="G58" i="13"/>
  <c r="H56" i="34"/>
  <c r="G56" i="31"/>
  <c r="D58" i="29"/>
  <c r="E58" i="29" s="1"/>
  <c r="D56" i="37"/>
  <c r="E56" i="37" s="1"/>
  <c r="H58" i="13"/>
  <c r="F64" i="4"/>
  <c r="H64" i="4" s="1"/>
  <c r="B64" i="4"/>
  <c r="H60" i="27"/>
  <c r="I60" i="27" s="1"/>
  <c r="H57" i="29"/>
  <c r="I57" i="29" s="1"/>
  <c r="J142" i="28"/>
  <c r="J138" i="20"/>
  <c r="H139" i="13"/>
  <c r="I139" i="13"/>
  <c r="F140" i="13"/>
  <c r="B140" i="13"/>
  <c r="D140" i="20"/>
  <c r="E140" i="20" s="1"/>
  <c r="G139" i="20"/>
  <c r="D69" i="42" l="1"/>
  <c r="E69" i="42" s="1"/>
  <c r="D152" i="42"/>
  <c r="G151" i="42"/>
  <c r="E63" i="24"/>
  <c r="F63" i="24" s="1"/>
  <c r="G63" i="24" s="1"/>
  <c r="B63" i="24"/>
  <c r="G64" i="4"/>
  <c r="I64" i="4" s="1"/>
  <c r="H63" i="19"/>
  <c r="I63" i="19" s="1"/>
  <c r="H60" i="22"/>
  <c r="I60" i="22" s="1"/>
  <c r="I56" i="31"/>
  <c r="D66" i="3"/>
  <c r="E66" i="3" s="1"/>
  <c r="F58" i="29"/>
  <c r="G58" i="29" s="1"/>
  <c r="F61" i="23"/>
  <c r="B61" i="23"/>
  <c r="D62" i="21"/>
  <c r="E62" i="21" s="1"/>
  <c r="G65" i="3"/>
  <c r="F59" i="25"/>
  <c r="H59" i="25" s="1"/>
  <c r="B59" i="25"/>
  <c r="B59" i="13"/>
  <c r="F59" i="13"/>
  <c r="H59" i="13" s="1"/>
  <c r="H61" i="21"/>
  <c r="I56" i="34"/>
  <c r="B60" i="26"/>
  <c r="F60" i="26"/>
  <c r="H60" i="26" s="1"/>
  <c r="G61" i="21"/>
  <c r="D65" i="4"/>
  <c r="E65" i="4" s="1"/>
  <c r="B57" i="35"/>
  <c r="F57" i="35"/>
  <c r="F57" i="31"/>
  <c r="H57" i="31" s="1"/>
  <c r="B57" i="31"/>
  <c r="I58" i="13"/>
  <c r="D64" i="18"/>
  <c r="E64" i="18" s="1"/>
  <c r="B61" i="28"/>
  <c r="B57" i="34"/>
  <c r="F57" i="34"/>
  <c r="F61" i="27"/>
  <c r="B61" i="27"/>
  <c r="F56" i="37"/>
  <c r="G56" i="37" s="1"/>
  <c r="B56" i="37"/>
  <c r="D64" i="19"/>
  <c r="E64" i="19" s="1"/>
  <c r="D61" i="22"/>
  <c r="E61" i="22" s="1"/>
  <c r="G63" i="18"/>
  <c r="I63" i="18" s="1"/>
  <c r="F55" i="38"/>
  <c r="H55" i="38" s="1"/>
  <c r="B55" i="38"/>
  <c r="H65" i="3"/>
  <c r="B144" i="28"/>
  <c r="D141" i="13"/>
  <c r="E141" i="13" s="1"/>
  <c r="G140" i="13"/>
  <c r="H139" i="20"/>
  <c r="I139" i="20"/>
  <c r="B140" i="20"/>
  <c r="F140" i="20"/>
  <c r="B152" i="42" l="1"/>
  <c r="E152" i="42"/>
  <c r="F152" i="42" s="1"/>
  <c r="B69" i="42"/>
  <c r="F69" i="42"/>
  <c r="I65" i="3"/>
  <c r="H63" i="24"/>
  <c r="I63" i="24" s="1"/>
  <c r="D64" i="24"/>
  <c r="G57" i="31"/>
  <c r="I57" i="31" s="1"/>
  <c r="H56" i="37"/>
  <c r="I56" i="37" s="1"/>
  <c r="I61" i="28"/>
  <c r="G59" i="25"/>
  <c r="I59" i="25" s="1"/>
  <c r="H58" i="29"/>
  <c r="I58" i="29" s="1"/>
  <c r="I61" i="21"/>
  <c r="D62" i="27"/>
  <c r="E62" i="27" s="1"/>
  <c r="D58" i="35"/>
  <c r="E58" i="35" s="1"/>
  <c r="F64" i="19"/>
  <c r="H64" i="19" s="1"/>
  <c r="B64" i="19"/>
  <c r="G61" i="27"/>
  <c r="D62" i="23"/>
  <c r="D56" i="38"/>
  <c r="E56" i="38" s="1"/>
  <c r="D58" i="34"/>
  <c r="E58" i="34" s="1"/>
  <c r="D60" i="25"/>
  <c r="E60" i="25" s="1"/>
  <c r="B65" i="4"/>
  <c r="F65" i="4"/>
  <c r="G65" i="4" s="1"/>
  <c r="G55" i="38"/>
  <c r="I55" i="38" s="1"/>
  <c r="H57" i="34"/>
  <c r="D58" i="31"/>
  <c r="E58" i="31" s="1"/>
  <c r="D60" i="13"/>
  <c r="E60" i="13" s="1"/>
  <c r="D59" i="29"/>
  <c r="E59" i="29" s="1"/>
  <c r="D57" i="37"/>
  <c r="G57" i="34"/>
  <c r="F64" i="18"/>
  <c r="H64" i="18" s="1"/>
  <c r="B64" i="18"/>
  <c r="D61" i="26"/>
  <c r="E61" i="26" s="1"/>
  <c r="B62" i="21"/>
  <c r="F62" i="21"/>
  <c r="G62" i="21" s="1"/>
  <c r="H61" i="27"/>
  <c r="H57" i="35"/>
  <c r="G59" i="13"/>
  <c r="I59" i="13" s="1"/>
  <c r="H61" i="23"/>
  <c r="F66" i="3"/>
  <c r="G66" i="3" s="1"/>
  <c r="B66" i="3"/>
  <c r="B61" i="22"/>
  <c r="F61" i="22"/>
  <c r="H61" i="22" s="1"/>
  <c r="G57" i="35"/>
  <c r="G60" i="26"/>
  <c r="I60" i="26" s="1"/>
  <c r="G61" i="23"/>
  <c r="J143" i="28"/>
  <c r="J139" i="20"/>
  <c r="I140" i="13"/>
  <c r="H140" i="13"/>
  <c r="B141" i="13"/>
  <c r="F141" i="13"/>
  <c r="G140" i="20"/>
  <c r="D141" i="20"/>
  <c r="E141" i="20" s="1"/>
  <c r="D153" i="42" l="1"/>
  <c r="E153" i="42" s="1"/>
  <c r="G152" i="42"/>
  <c r="D70" i="42"/>
  <c r="E70" i="42" s="1"/>
  <c r="B145" i="28"/>
  <c r="E64" i="24"/>
  <c r="F64" i="24" s="1"/>
  <c r="G64" i="24" s="1"/>
  <c r="B64" i="24"/>
  <c r="H66" i="3"/>
  <c r="I66" i="3" s="1"/>
  <c r="G64" i="18"/>
  <c r="I64" i="18" s="1"/>
  <c r="H65" i="4"/>
  <c r="I65" i="4" s="1"/>
  <c r="I61" i="23"/>
  <c r="I57" i="35"/>
  <c r="I61" i="27"/>
  <c r="B57" i="37"/>
  <c r="B62" i="28"/>
  <c r="B56" i="38"/>
  <c r="F56" i="38"/>
  <c r="H56" i="38" s="1"/>
  <c r="D62" i="22"/>
  <c r="E62" i="22" s="1"/>
  <c r="B61" i="26"/>
  <c r="F61" i="26"/>
  <c r="F59" i="29"/>
  <c r="B62" i="23"/>
  <c r="D65" i="19"/>
  <c r="E65" i="19" s="1"/>
  <c r="G61" i="22"/>
  <c r="I61" i="22" s="1"/>
  <c r="F60" i="25"/>
  <c r="H60" i="25" s="1"/>
  <c r="B60" i="25"/>
  <c r="E62" i="23"/>
  <c r="F62" i="23" s="1"/>
  <c r="D65" i="18"/>
  <c r="E65" i="18" s="1"/>
  <c r="F60" i="13"/>
  <c r="G60" i="13" s="1"/>
  <c r="B60" i="13"/>
  <c r="D66" i="4"/>
  <c r="E66" i="4" s="1"/>
  <c r="D63" i="21"/>
  <c r="E63" i="21" s="1"/>
  <c r="F58" i="34"/>
  <c r="H58" i="34" s="1"/>
  <c r="B58" i="34"/>
  <c r="B58" i="35"/>
  <c r="F58" i="35"/>
  <c r="H58" i="35" s="1"/>
  <c r="D67" i="3"/>
  <c r="H62" i="21"/>
  <c r="I62" i="21" s="1"/>
  <c r="F58" i="31"/>
  <c r="H58" i="31" s="1"/>
  <c r="B58" i="31"/>
  <c r="E57" i="37"/>
  <c r="F57" i="37" s="1"/>
  <c r="I57" i="34"/>
  <c r="G64" i="19"/>
  <c r="I64" i="19" s="1"/>
  <c r="B62" i="27"/>
  <c r="F62" i="27"/>
  <c r="G62" i="27" s="1"/>
  <c r="D142" i="13"/>
  <c r="E142" i="13" s="1"/>
  <c r="G141" i="13"/>
  <c r="I140" i="20"/>
  <c r="H140" i="20"/>
  <c r="B141" i="20"/>
  <c r="F141" i="20"/>
  <c r="B70" i="42" l="1"/>
  <c r="F70" i="42"/>
  <c r="B153" i="42"/>
  <c r="F153" i="42"/>
  <c r="B146" i="28"/>
  <c r="H64" i="24"/>
  <c r="I64" i="24" s="1"/>
  <c r="D65" i="24"/>
  <c r="J144" i="28"/>
  <c r="H62" i="27"/>
  <c r="I62" i="27" s="1"/>
  <c r="G60" i="25"/>
  <c r="I60" i="25" s="1"/>
  <c r="D58" i="37"/>
  <c r="E58" i="37" s="1"/>
  <c r="H57" i="37"/>
  <c r="G57" i="37"/>
  <c r="B67" i="3"/>
  <c r="D59" i="34"/>
  <c r="E59" i="34" s="1"/>
  <c r="D63" i="23"/>
  <c r="E63" i="23" s="1"/>
  <c r="D60" i="29"/>
  <c r="B62" i="22"/>
  <c r="F62" i="22"/>
  <c r="H62" i="22" s="1"/>
  <c r="D63" i="27"/>
  <c r="E63" i="27" s="1"/>
  <c r="G58" i="35"/>
  <c r="I58" i="35" s="1"/>
  <c r="D61" i="13"/>
  <c r="E61" i="13" s="1"/>
  <c r="H59" i="29"/>
  <c r="G59" i="29"/>
  <c r="D59" i="31"/>
  <c r="E59" i="31" s="1"/>
  <c r="D59" i="35"/>
  <c r="B63" i="21"/>
  <c r="F63" i="21"/>
  <c r="F65" i="18"/>
  <c r="G65" i="18" s="1"/>
  <c r="B65" i="18"/>
  <c r="F65" i="19"/>
  <c r="G65" i="19" s="1"/>
  <c r="B65" i="19"/>
  <c r="D62" i="26"/>
  <c r="E62" i="26" s="1"/>
  <c r="D57" i="38"/>
  <c r="G58" i="31"/>
  <c r="I58" i="31" s="1"/>
  <c r="G62" i="23"/>
  <c r="G58" i="34"/>
  <c r="I58" i="34" s="1"/>
  <c r="F66" i="4"/>
  <c r="H66" i="4" s="1"/>
  <c r="B66" i="4"/>
  <c r="H62" i="23"/>
  <c r="H61" i="26"/>
  <c r="G56" i="38"/>
  <c r="I56" i="38" s="1"/>
  <c r="E67" i="3"/>
  <c r="F67" i="3" s="1"/>
  <c r="H60" i="13"/>
  <c r="I60" i="13" s="1"/>
  <c r="D61" i="25"/>
  <c r="E61" i="25" s="1"/>
  <c r="G61" i="26"/>
  <c r="H141" i="13"/>
  <c r="I141" i="13"/>
  <c r="F142" i="13"/>
  <c r="B142" i="13"/>
  <c r="J140" i="20"/>
  <c r="D142" i="20"/>
  <c r="E142" i="20" s="1"/>
  <c r="G141" i="20"/>
  <c r="D71" i="42" l="1"/>
  <c r="E71" i="42" s="1"/>
  <c r="D154" i="42"/>
  <c r="G153" i="42"/>
  <c r="J145" i="28"/>
  <c r="E65" i="24"/>
  <c r="F65" i="24" s="1"/>
  <c r="H65" i="24" s="1"/>
  <c r="B65" i="24"/>
  <c r="I62" i="28"/>
  <c r="I59" i="29"/>
  <c r="H65" i="19"/>
  <c r="I65" i="19" s="1"/>
  <c r="I57" i="37"/>
  <c r="I61" i="26"/>
  <c r="D68" i="3"/>
  <c r="E68" i="3" s="1"/>
  <c r="G67" i="3"/>
  <c r="H67" i="3"/>
  <c r="G66" i="4"/>
  <c r="I66" i="4" s="1"/>
  <c r="B57" i="38"/>
  <c r="H65" i="18"/>
  <c r="I65" i="18" s="1"/>
  <c r="B59" i="35"/>
  <c r="F61" i="25"/>
  <c r="H61" i="25" s="1"/>
  <c r="B61" i="25"/>
  <c r="D67" i="4"/>
  <c r="E67" i="4" s="1"/>
  <c r="B62" i="26"/>
  <c r="F62" i="26"/>
  <c r="D66" i="18"/>
  <c r="E66" i="18" s="1"/>
  <c r="F59" i="31"/>
  <c r="G59" i="31" s="1"/>
  <c r="B59" i="31"/>
  <c r="B63" i="27"/>
  <c r="F63" i="27"/>
  <c r="G63" i="27" s="1"/>
  <c r="F58" i="37"/>
  <c r="H58" i="37" s="1"/>
  <c r="B58" i="37"/>
  <c r="D64" i="21"/>
  <c r="E64" i="21" s="1"/>
  <c r="B63" i="23"/>
  <c r="F63" i="23"/>
  <c r="H63" i="23" s="1"/>
  <c r="G63" i="21"/>
  <c r="D63" i="22"/>
  <c r="E63" i="22" s="1"/>
  <c r="H63" i="21"/>
  <c r="B59" i="34"/>
  <c r="F59" i="34"/>
  <c r="H59" i="34" s="1"/>
  <c r="I62" i="23"/>
  <c r="D66" i="19"/>
  <c r="E66" i="19" s="1"/>
  <c r="G62" i="22"/>
  <c r="I62" i="22" s="1"/>
  <c r="B63" i="28"/>
  <c r="E57" i="38"/>
  <c r="F57" i="38" s="1"/>
  <c r="E59" i="35"/>
  <c r="F59" i="35" s="1"/>
  <c r="F61" i="13"/>
  <c r="H61" i="13" s="1"/>
  <c r="B61" i="13"/>
  <c r="E60" i="29"/>
  <c r="F60" i="29" s="1"/>
  <c r="D143" i="13"/>
  <c r="E143" i="13" s="1"/>
  <c r="G142" i="13"/>
  <c r="B147" i="28"/>
  <c r="I141" i="20"/>
  <c r="H141" i="20"/>
  <c r="F142" i="20"/>
  <c r="B142" i="20"/>
  <c r="B154" i="42" l="1"/>
  <c r="E154" i="42"/>
  <c r="F154" i="42" s="1"/>
  <c r="F71" i="42"/>
  <c r="B71" i="42"/>
  <c r="G65" i="24"/>
  <c r="I65" i="24" s="1"/>
  <c r="D66" i="24"/>
  <c r="I67" i="3"/>
  <c r="J146" i="28"/>
  <c r="I63" i="28"/>
  <c r="G63" i="23"/>
  <c r="I63" i="23" s="1"/>
  <c r="I63" i="21"/>
  <c r="G59" i="34"/>
  <c r="I59" i="34" s="1"/>
  <c r="D61" i="29"/>
  <c r="E61" i="29" s="1"/>
  <c r="H60" i="29"/>
  <c r="G60" i="29"/>
  <c r="D60" i="35"/>
  <c r="E60" i="35" s="1"/>
  <c r="H59" i="35"/>
  <c r="G59" i="35"/>
  <c r="D58" i="38"/>
  <c r="E58" i="38" s="1"/>
  <c r="G57" i="38"/>
  <c r="H57" i="38"/>
  <c r="D59" i="37"/>
  <c r="E59" i="37" s="1"/>
  <c r="D60" i="31"/>
  <c r="D62" i="13"/>
  <c r="E62" i="13" s="1"/>
  <c r="F67" i="4"/>
  <c r="G67" i="4" s="1"/>
  <c r="B67" i="4"/>
  <c r="B66" i="19"/>
  <c r="F66" i="19"/>
  <c r="H66" i="19" s="1"/>
  <c r="D64" i="27"/>
  <c r="E64" i="27" s="1"/>
  <c r="B66" i="18"/>
  <c r="F66" i="18"/>
  <c r="D62" i="25"/>
  <c r="E62" i="25" s="1"/>
  <c r="B63" i="22"/>
  <c r="F63" i="22"/>
  <c r="H63" i="27"/>
  <c r="I63" i="27" s="1"/>
  <c r="D63" i="26"/>
  <c r="E63" i="26" s="1"/>
  <c r="F64" i="21"/>
  <c r="G64" i="21" s="1"/>
  <c r="B64" i="21"/>
  <c r="H62" i="26"/>
  <c r="G61" i="25"/>
  <c r="I61" i="25" s="1"/>
  <c r="D60" i="34"/>
  <c r="E60" i="34" s="1"/>
  <c r="G62" i="26"/>
  <c r="G61" i="13"/>
  <c r="I61" i="13" s="1"/>
  <c r="D64" i="23"/>
  <c r="E64" i="23" s="1"/>
  <c r="G58" i="37"/>
  <c r="I58" i="37" s="1"/>
  <c r="H59" i="31"/>
  <c r="I59" i="31" s="1"/>
  <c r="B68" i="3"/>
  <c r="F68" i="3"/>
  <c r="H68" i="3" s="1"/>
  <c r="H142" i="13"/>
  <c r="I142" i="13"/>
  <c r="B143" i="13"/>
  <c r="F143" i="13"/>
  <c r="J141" i="20"/>
  <c r="D143" i="20"/>
  <c r="E143" i="20" s="1"/>
  <c r="G142" i="20"/>
  <c r="D155" i="42" l="1"/>
  <c r="E155" i="42" s="1"/>
  <c r="E156" i="42" s="1"/>
  <c r="G154" i="42"/>
  <c r="D72" i="42"/>
  <c r="E72" i="42" s="1"/>
  <c r="E66" i="24"/>
  <c r="F66" i="24" s="1"/>
  <c r="H66" i="24" s="1"/>
  <c r="B66" i="24"/>
  <c r="I57" i="38"/>
  <c r="H67" i="4"/>
  <c r="I67" i="4" s="1"/>
  <c r="G66" i="19"/>
  <c r="I66" i="19" s="1"/>
  <c r="I62" i="26"/>
  <c r="I59" i="35"/>
  <c r="B60" i="31"/>
  <c r="B64" i="23"/>
  <c r="F64" i="23"/>
  <c r="F60" i="34"/>
  <c r="B60" i="34"/>
  <c r="B62" i="25"/>
  <c r="F62" i="25"/>
  <c r="B63" i="26"/>
  <c r="F63" i="26"/>
  <c r="G63" i="26" s="1"/>
  <c r="D67" i="18"/>
  <c r="E67" i="18" s="1"/>
  <c r="B59" i="37"/>
  <c r="F59" i="37"/>
  <c r="H59" i="37" s="1"/>
  <c r="F60" i="35"/>
  <c r="B60" i="35"/>
  <c r="D69" i="3"/>
  <c r="E69" i="3" s="1"/>
  <c r="B64" i="28"/>
  <c r="G66" i="18"/>
  <c r="D68" i="4"/>
  <c r="E68" i="4" s="1"/>
  <c r="D64" i="22"/>
  <c r="E64" i="22" s="1"/>
  <c r="I60" i="29"/>
  <c r="G68" i="3"/>
  <c r="I68" i="3" s="1"/>
  <c r="G63" i="22"/>
  <c r="H66" i="18"/>
  <c r="D67" i="19"/>
  <c r="E67" i="19" s="1"/>
  <c r="D65" i="21"/>
  <c r="E65" i="21" s="1"/>
  <c r="B62" i="13"/>
  <c r="F62" i="13"/>
  <c r="B58" i="38"/>
  <c r="F58" i="38"/>
  <c r="H58" i="38" s="1"/>
  <c r="F61" i="29"/>
  <c r="G61" i="29" s="1"/>
  <c r="H64" i="21"/>
  <c r="I64" i="21" s="1"/>
  <c r="H63" i="22"/>
  <c r="B64" i="27"/>
  <c r="F64" i="27"/>
  <c r="H64" i="27" s="1"/>
  <c r="E60" i="31"/>
  <c r="F60" i="31" s="1"/>
  <c r="D144" i="13"/>
  <c r="G143" i="13"/>
  <c r="B148" i="28"/>
  <c r="H142" i="20"/>
  <c r="I142" i="20"/>
  <c r="B143" i="20"/>
  <c r="F143" i="20"/>
  <c r="F72" i="42" l="1"/>
  <c r="B155" i="42"/>
  <c r="F155" i="42"/>
  <c r="G155" i="42" s="1"/>
  <c r="G66" i="24"/>
  <c r="I66" i="24" s="1"/>
  <c r="D67" i="24"/>
  <c r="I63" i="22"/>
  <c r="G59" i="37"/>
  <c r="I59" i="37" s="1"/>
  <c r="I66" i="18"/>
  <c r="H61" i="29"/>
  <c r="I61" i="29" s="1"/>
  <c r="D61" i="31"/>
  <c r="E61" i="31" s="1"/>
  <c r="H60" i="31"/>
  <c r="G60" i="31"/>
  <c r="D61" i="35"/>
  <c r="E61" i="35" s="1"/>
  <c r="D64" i="26"/>
  <c r="E64" i="26" s="1"/>
  <c r="D63" i="25"/>
  <c r="E63" i="25" s="1"/>
  <c r="D65" i="23"/>
  <c r="E65" i="23" s="1"/>
  <c r="D59" i="38"/>
  <c r="E59" i="38" s="1"/>
  <c r="B65" i="21"/>
  <c r="F65" i="21"/>
  <c r="H65" i="21" s="1"/>
  <c r="H63" i="26"/>
  <c r="I63" i="26" s="1"/>
  <c r="G58" i="38"/>
  <c r="I58" i="38" s="1"/>
  <c r="B64" i="22"/>
  <c r="F64" i="22"/>
  <c r="D60" i="37"/>
  <c r="D61" i="34"/>
  <c r="E61" i="34" s="1"/>
  <c r="D63" i="13"/>
  <c r="B69" i="3"/>
  <c r="F69" i="3"/>
  <c r="G69" i="3" s="1"/>
  <c r="H60" i="34"/>
  <c r="D65" i="27"/>
  <c r="E65" i="27" s="1"/>
  <c r="H62" i="13"/>
  <c r="B67" i="19"/>
  <c r="F67" i="19"/>
  <c r="H67" i="19" s="1"/>
  <c r="B68" i="4"/>
  <c r="F68" i="4"/>
  <c r="H68" i="4" s="1"/>
  <c r="G60" i="34"/>
  <c r="G62" i="13"/>
  <c r="G60" i="35"/>
  <c r="G62" i="25"/>
  <c r="G64" i="23"/>
  <c r="G64" i="27"/>
  <c r="I64" i="27" s="1"/>
  <c r="D62" i="29"/>
  <c r="E62" i="29" s="1"/>
  <c r="I64" i="28"/>
  <c r="H60" i="35"/>
  <c r="B67" i="18"/>
  <c r="F67" i="18"/>
  <c r="H62" i="25"/>
  <c r="H64" i="23"/>
  <c r="J147" i="28"/>
  <c r="H143" i="13"/>
  <c r="I143" i="13"/>
  <c r="B144" i="13"/>
  <c r="J142" i="20"/>
  <c r="E144" i="13"/>
  <c r="F144" i="13" s="1"/>
  <c r="G143" i="20"/>
  <c r="D144" i="20"/>
  <c r="E144" i="20" s="1"/>
  <c r="I64" i="23" l="1"/>
  <c r="D73" i="42"/>
  <c r="E73" i="42" s="1"/>
  <c r="E74" i="42" s="1"/>
  <c r="I62" i="25"/>
  <c r="E67" i="24"/>
  <c r="F67" i="24" s="1"/>
  <c r="B67" i="24"/>
  <c r="I62" i="13"/>
  <c r="I60" i="35"/>
  <c r="H69" i="3"/>
  <c r="I69" i="3" s="1"/>
  <c r="I60" i="34"/>
  <c r="B60" i="37"/>
  <c r="F62" i="29"/>
  <c r="G62" i="29" s="1"/>
  <c r="D65" i="22"/>
  <c r="E65" i="22" s="1"/>
  <c r="B65" i="28"/>
  <c r="B59" i="38"/>
  <c r="F59" i="38"/>
  <c r="H59" i="38" s="1"/>
  <c r="F61" i="35"/>
  <c r="G61" i="35" s="1"/>
  <c r="B61" i="35"/>
  <c r="D68" i="18"/>
  <c r="D69" i="4"/>
  <c r="E69" i="4" s="1"/>
  <c r="B63" i="13"/>
  <c r="H67" i="18"/>
  <c r="G68" i="4"/>
  <c r="I68" i="4" s="1"/>
  <c r="E63" i="13"/>
  <c r="F63" i="13" s="1"/>
  <c r="H64" i="22"/>
  <c r="F65" i="23"/>
  <c r="G65" i="23" s="1"/>
  <c r="B65" i="23"/>
  <c r="F65" i="27"/>
  <c r="B65" i="27"/>
  <c r="G64" i="22"/>
  <c r="G67" i="18"/>
  <c r="D66" i="21"/>
  <c r="E66" i="21" s="1"/>
  <c r="B63" i="25"/>
  <c r="F63" i="25"/>
  <c r="H63" i="25" s="1"/>
  <c r="I60" i="31"/>
  <c r="D68" i="19"/>
  <c r="E68" i="19" s="1"/>
  <c r="F61" i="34"/>
  <c r="H61" i="34" s="1"/>
  <c r="B61" i="34"/>
  <c r="G67" i="19"/>
  <c r="I67" i="19" s="1"/>
  <c r="D70" i="3"/>
  <c r="E70" i="3" s="1"/>
  <c r="E60" i="37"/>
  <c r="F60" i="37" s="1"/>
  <c r="G65" i="21"/>
  <c r="I65" i="21" s="1"/>
  <c r="B64" i="26"/>
  <c r="F64" i="26"/>
  <c r="H64" i="26" s="1"/>
  <c r="B61" i="31"/>
  <c r="F61" i="31"/>
  <c r="H61" i="31" s="1"/>
  <c r="D145" i="13"/>
  <c r="E145" i="13" s="1"/>
  <c r="G144" i="13"/>
  <c r="B149" i="28"/>
  <c r="F144" i="20"/>
  <c r="B144" i="20"/>
  <c r="I143" i="20"/>
  <c r="H143" i="20"/>
  <c r="B73" i="42" l="1"/>
  <c r="F73" i="42"/>
  <c r="D68" i="24"/>
  <c r="H67" i="24"/>
  <c r="G67" i="24"/>
  <c r="G61" i="31"/>
  <c r="I61" i="31" s="1"/>
  <c r="G64" i="26"/>
  <c r="I64" i="26" s="1"/>
  <c r="G61" i="34"/>
  <c r="I61" i="34" s="1"/>
  <c r="I64" i="22"/>
  <c r="H61" i="35"/>
  <c r="I61" i="35" s="1"/>
  <c r="G59" i="38"/>
  <c r="I59" i="38" s="1"/>
  <c r="D64" i="13"/>
  <c r="H63" i="13"/>
  <c r="G63" i="13"/>
  <c r="D61" i="37"/>
  <c r="E61" i="37" s="1"/>
  <c r="G60" i="37"/>
  <c r="H60" i="37"/>
  <c r="D66" i="27"/>
  <c r="E66" i="27" s="1"/>
  <c r="B68" i="18"/>
  <c r="F68" i="19"/>
  <c r="H68" i="19" s="1"/>
  <c r="B68" i="19"/>
  <c r="F66" i="21"/>
  <c r="H66" i="21" s="1"/>
  <c r="B66" i="21"/>
  <c r="G65" i="27"/>
  <c r="D63" i="29"/>
  <c r="E63" i="29" s="1"/>
  <c r="F70" i="3"/>
  <c r="G70" i="3" s="1"/>
  <c r="B70" i="3"/>
  <c r="H62" i="29"/>
  <c r="I62" i="29" s="1"/>
  <c r="D62" i="35"/>
  <c r="E62" i="35" s="1"/>
  <c r="D65" i="26"/>
  <c r="E65" i="26" s="1"/>
  <c r="D64" i="25"/>
  <c r="E64" i="25" s="1"/>
  <c r="I67" i="18"/>
  <c r="D66" i="23"/>
  <c r="E66" i="23" s="1"/>
  <c r="B69" i="4"/>
  <c r="F69" i="4"/>
  <c r="D60" i="38"/>
  <c r="E60" i="38" s="1"/>
  <c r="F65" i="22"/>
  <c r="G65" i="22" s="1"/>
  <c r="B65" i="22"/>
  <c r="D62" i="31"/>
  <c r="D62" i="34"/>
  <c r="E62" i="34" s="1"/>
  <c r="G63" i="25"/>
  <c r="I63" i="25" s="1"/>
  <c r="H65" i="27"/>
  <c r="H65" i="23"/>
  <c r="I65" i="23" s="1"/>
  <c r="E68" i="18"/>
  <c r="F68" i="18" s="1"/>
  <c r="J148" i="28"/>
  <c r="F145" i="13"/>
  <c r="B145" i="13"/>
  <c r="I144" i="13"/>
  <c r="H144" i="13"/>
  <c r="G144" i="20"/>
  <c r="D145" i="20"/>
  <c r="E145" i="20" s="1"/>
  <c r="J143" i="20"/>
  <c r="I67" i="24" l="1"/>
  <c r="E68" i="24"/>
  <c r="F68" i="24" s="1"/>
  <c r="D69" i="24" s="1"/>
  <c r="B68" i="24"/>
  <c r="I60" i="37"/>
  <c r="I65" i="27"/>
  <c r="G66" i="21"/>
  <c r="I66" i="21" s="1"/>
  <c r="G68" i="19"/>
  <c r="I68" i="19" s="1"/>
  <c r="H65" i="22"/>
  <c r="I65" i="22" s="1"/>
  <c r="I65" i="28"/>
  <c r="D69" i="18"/>
  <c r="E69" i="18" s="1"/>
  <c r="H68" i="18"/>
  <c r="G68" i="18"/>
  <c r="B62" i="31"/>
  <c r="D70" i="4"/>
  <c r="E70" i="4" s="1"/>
  <c r="F61" i="37"/>
  <c r="B61" i="37"/>
  <c r="G69" i="4"/>
  <c r="F65" i="26"/>
  <c r="H65" i="26" s="1"/>
  <c r="B65" i="26"/>
  <c r="D71" i="3"/>
  <c r="E71" i="3" s="1"/>
  <c r="D67" i="21"/>
  <c r="E67" i="21" s="1"/>
  <c r="D66" i="22"/>
  <c r="E66" i="22" s="1"/>
  <c r="B66" i="23"/>
  <c r="F66" i="23"/>
  <c r="G66" i="23" s="1"/>
  <c r="B62" i="35"/>
  <c r="F62" i="35"/>
  <c r="H62" i="35" s="1"/>
  <c r="F63" i="29"/>
  <c r="G63" i="29" s="1"/>
  <c r="B66" i="27"/>
  <c r="F66" i="27"/>
  <c r="I63" i="13"/>
  <c r="F62" i="34"/>
  <c r="B62" i="34"/>
  <c r="B60" i="38"/>
  <c r="F60" i="38"/>
  <c r="B66" i="28"/>
  <c r="B64" i="13"/>
  <c r="E62" i="31"/>
  <c r="F62" i="31" s="1"/>
  <c r="H69" i="4"/>
  <c r="F64" i="25"/>
  <c r="B64" i="25"/>
  <c r="H70" i="3"/>
  <c r="I70" i="3" s="1"/>
  <c r="D69" i="19"/>
  <c r="E69" i="19" s="1"/>
  <c r="E64" i="13"/>
  <c r="F64" i="13" s="1"/>
  <c r="D146" i="13"/>
  <c r="G145" i="13"/>
  <c r="B150" i="28"/>
  <c r="B145" i="20"/>
  <c r="F145" i="20"/>
  <c r="I144" i="20"/>
  <c r="H144" i="20"/>
  <c r="H68" i="24" l="1"/>
  <c r="E69" i="24"/>
  <c r="F69" i="24" s="1"/>
  <c r="B69" i="24"/>
  <c r="G68" i="24"/>
  <c r="G65" i="26"/>
  <c r="I65" i="26" s="1"/>
  <c r="I69" i="4"/>
  <c r="H66" i="23"/>
  <c r="I66" i="23" s="1"/>
  <c r="H63" i="29"/>
  <c r="I63" i="29" s="1"/>
  <c r="G62" i="35"/>
  <c r="I62" i="35" s="1"/>
  <c r="D65" i="13"/>
  <c r="G64" i="13"/>
  <c r="H64" i="13"/>
  <c r="D63" i="31"/>
  <c r="E63" i="31" s="1"/>
  <c r="H62" i="31"/>
  <c r="G62" i="31"/>
  <c r="D67" i="27"/>
  <c r="E67" i="27" s="1"/>
  <c r="D65" i="25"/>
  <c r="E65" i="25" s="1"/>
  <c r="D62" i="37"/>
  <c r="G64" i="25"/>
  <c r="D63" i="34"/>
  <c r="E63" i="34" s="1"/>
  <c r="B71" i="3"/>
  <c r="F71" i="3"/>
  <c r="H71" i="3" s="1"/>
  <c r="H61" i="37"/>
  <c r="G62" i="34"/>
  <c r="G61" i="37"/>
  <c r="I66" i="28"/>
  <c r="H62" i="34"/>
  <c r="D67" i="23"/>
  <c r="E67" i="23" s="1"/>
  <c r="B67" i="21"/>
  <c r="F67" i="21"/>
  <c r="G67" i="21" s="1"/>
  <c r="B69" i="19"/>
  <c r="F69" i="19"/>
  <c r="G69" i="19" s="1"/>
  <c r="D61" i="38"/>
  <c r="E61" i="38" s="1"/>
  <c r="D64" i="29"/>
  <c r="E64" i="29" s="1"/>
  <c r="I68" i="18"/>
  <c r="G60" i="38"/>
  <c r="G66" i="27"/>
  <c r="D63" i="35"/>
  <c r="E63" i="35" s="1"/>
  <c r="D66" i="26"/>
  <c r="E66" i="26" s="1"/>
  <c r="H64" i="25"/>
  <c r="H60" i="38"/>
  <c r="H66" i="27"/>
  <c r="B66" i="22"/>
  <c r="F66" i="22"/>
  <c r="H66" i="22" s="1"/>
  <c r="B70" i="4"/>
  <c r="F70" i="4"/>
  <c r="G70" i="4" s="1"/>
  <c r="B69" i="18"/>
  <c r="F69" i="18"/>
  <c r="H145" i="13"/>
  <c r="I145" i="13"/>
  <c r="B146" i="13"/>
  <c r="E146" i="13"/>
  <c r="F146" i="13" s="1"/>
  <c r="J149" i="28"/>
  <c r="J144" i="20"/>
  <c r="D146" i="20"/>
  <c r="E146" i="20" s="1"/>
  <c r="G145" i="20"/>
  <c r="I68" i="24" l="1"/>
  <c r="G69" i="24"/>
  <c r="H69" i="24"/>
  <c r="D70" i="24"/>
  <c r="H70" i="4"/>
  <c r="I70" i="4" s="1"/>
  <c r="I64" i="25"/>
  <c r="I60" i="38"/>
  <c r="I62" i="31"/>
  <c r="G71" i="3"/>
  <c r="I71" i="3" s="1"/>
  <c r="I64" i="13"/>
  <c r="B62" i="37"/>
  <c r="F63" i="35"/>
  <c r="B63" i="35"/>
  <c r="H67" i="21"/>
  <c r="I67" i="21" s="1"/>
  <c r="F64" i="29"/>
  <c r="G64" i="29" s="1"/>
  <c r="D70" i="18"/>
  <c r="E70" i="18" s="1"/>
  <c r="D68" i="21"/>
  <c r="E68" i="21" s="1"/>
  <c r="B63" i="34"/>
  <c r="F63" i="34"/>
  <c r="H63" i="34" s="1"/>
  <c r="F65" i="25"/>
  <c r="H65" i="25" s="1"/>
  <c r="B65" i="25"/>
  <c r="F63" i="31"/>
  <c r="H63" i="31" s="1"/>
  <c r="B63" i="31"/>
  <c r="G69" i="18"/>
  <c r="D67" i="22"/>
  <c r="E67" i="22" s="1"/>
  <c r="F61" i="38"/>
  <c r="G61" i="38" s="1"/>
  <c r="B61" i="38"/>
  <c r="I61" i="37"/>
  <c r="G66" i="22"/>
  <c r="I66" i="22" s="1"/>
  <c r="D70" i="19"/>
  <c r="E70" i="19" s="1"/>
  <c r="B67" i="28"/>
  <c r="H69" i="18"/>
  <c r="B66" i="26"/>
  <c r="F66" i="26"/>
  <c r="H66" i="26" s="1"/>
  <c r="F67" i="23"/>
  <c r="H67" i="23" s="1"/>
  <c r="B67" i="23"/>
  <c r="D72" i="3"/>
  <c r="E72" i="3" s="1"/>
  <c r="B65" i="13"/>
  <c r="D71" i="4"/>
  <c r="E71" i="4" s="1"/>
  <c r="I66" i="27"/>
  <c r="H69" i="19"/>
  <c r="I69" i="19" s="1"/>
  <c r="I62" i="34"/>
  <c r="E62" i="37"/>
  <c r="F62" i="37" s="1"/>
  <c r="F67" i="27"/>
  <c r="H67" i="27" s="1"/>
  <c r="B67" i="27"/>
  <c r="E65" i="13"/>
  <c r="F65" i="13" s="1"/>
  <c r="G146" i="13"/>
  <c r="D147" i="13"/>
  <c r="E147" i="13" s="1"/>
  <c r="B151" i="28"/>
  <c r="I145" i="20"/>
  <c r="H145" i="20"/>
  <c r="F146" i="20"/>
  <c r="B146" i="20"/>
  <c r="I69" i="24" l="1"/>
  <c r="E70" i="24"/>
  <c r="F70" i="24" s="1"/>
  <c r="B70" i="24"/>
  <c r="I69" i="18"/>
  <c r="H61" i="38"/>
  <c r="I61" i="38" s="1"/>
  <c r="G67" i="27"/>
  <c r="I67" i="27" s="1"/>
  <c r="I67" i="28"/>
  <c r="G66" i="26"/>
  <c r="I66" i="26" s="1"/>
  <c r="G63" i="34"/>
  <c r="I63" i="34" s="1"/>
  <c r="G65" i="25"/>
  <c r="I65" i="25" s="1"/>
  <c r="D66" i="13"/>
  <c r="E66" i="13" s="1"/>
  <c r="H65" i="13"/>
  <c r="G65" i="13"/>
  <c r="D63" i="37"/>
  <c r="E63" i="37" s="1"/>
  <c r="H62" i="37"/>
  <c r="G62" i="37"/>
  <c r="B72" i="3"/>
  <c r="F72" i="3"/>
  <c r="H72" i="3" s="1"/>
  <c r="D62" i="38"/>
  <c r="E62" i="38" s="1"/>
  <c r="D64" i="31"/>
  <c r="D65" i="29"/>
  <c r="E65" i="29" s="1"/>
  <c r="F70" i="19"/>
  <c r="H70" i="19" s="1"/>
  <c r="B70" i="19"/>
  <c r="F71" i="4"/>
  <c r="H71" i="4" s="1"/>
  <c r="B71" i="4"/>
  <c r="B68" i="21"/>
  <c r="F68" i="21"/>
  <c r="D68" i="23"/>
  <c r="B67" i="22"/>
  <c r="F67" i="22"/>
  <c r="H67" i="22" s="1"/>
  <c r="D64" i="35"/>
  <c r="D68" i="27"/>
  <c r="E68" i="27" s="1"/>
  <c r="G67" i="23"/>
  <c r="I67" i="23" s="1"/>
  <c r="D66" i="25"/>
  <c r="E66" i="25" s="1"/>
  <c r="H63" i="35"/>
  <c r="G63" i="31"/>
  <c r="I63" i="31" s="1"/>
  <c r="B70" i="18"/>
  <c r="F70" i="18"/>
  <c r="G63" i="35"/>
  <c r="D67" i="26"/>
  <c r="E67" i="26" s="1"/>
  <c r="D64" i="34"/>
  <c r="H64" i="29"/>
  <c r="I64" i="29" s="1"/>
  <c r="J150" i="28"/>
  <c r="F147" i="13"/>
  <c r="B147" i="13"/>
  <c r="H146" i="13"/>
  <c r="I146" i="13"/>
  <c r="G146" i="20"/>
  <c r="D147" i="20"/>
  <c r="J145" i="20"/>
  <c r="D71" i="24" l="1"/>
  <c r="H70" i="24"/>
  <c r="G70" i="24"/>
  <c r="G70" i="19"/>
  <c r="I70" i="19" s="1"/>
  <c r="G71" i="4"/>
  <c r="I71" i="4" s="1"/>
  <c r="I62" i="37"/>
  <c r="B64" i="34"/>
  <c r="D71" i="18"/>
  <c r="E71" i="18" s="1"/>
  <c r="B64" i="35"/>
  <c r="D69" i="21"/>
  <c r="E69" i="21" s="1"/>
  <c r="B64" i="31"/>
  <c r="F66" i="25"/>
  <c r="H66" i="25" s="1"/>
  <c r="B66" i="25"/>
  <c r="B68" i="28"/>
  <c r="G70" i="18"/>
  <c r="D68" i="22"/>
  <c r="E68" i="22" s="1"/>
  <c r="H68" i="21"/>
  <c r="B62" i="38"/>
  <c r="F62" i="38"/>
  <c r="G62" i="38" s="1"/>
  <c r="F63" i="37"/>
  <c r="G63" i="37" s="1"/>
  <c r="B63" i="37"/>
  <c r="G67" i="22"/>
  <c r="I67" i="22" s="1"/>
  <c r="D71" i="19"/>
  <c r="E71" i="19" s="1"/>
  <c r="B67" i="26"/>
  <c r="F67" i="26"/>
  <c r="G67" i="26" s="1"/>
  <c r="D73" i="3"/>
  <c r="E73" i="3" s="1"/>
  <c r="E74" i="3" s="1"/>
  <c r="B68" i="23"/>
  <c r="G72" i="3"/>
  <c r="I72" i="3" s="1"/>
  <c r="I65" i="13"/>
  <c r="F68" i="27"/>
  <c r="G68" i="27" s="1"/>
  <c r="B68" i="27"/>
  <c r="E68" i="23"/>
  <c r="F68" i="23" s="1"/>
  <c r="D72" i="4"/>
  <c r="E72" i="4" s="1"/>
  <c r="F65" i="29"/>
  <c r="H65" i="29" s="1"/>
  <c r="E64" i="34"/>
  <c r="F64" i="34" s="1"/>
  <c r="H70" i="18"/>
  <c r="I63" i="35"/>
  <c r="E64" i="35"/>
  <c r="F64" i="35" s="1"/>
  <c r="G68" i="21"/>
  <c r="E64" i="31"/>
  <c r="F64" i="31" s="1"/>
  <c r="B66" i="13"/>
  <c r="F66" i="13"/>
  <c r="H66" i="13" s="1"/>
  <c r="D148" i="13"/>
  <c r="E148" i="13" s="1"/>
  <c r="G147" i="13"/>
  <c r="B152" i="28"/>
  <c r="B147" i="20"/>
  <c r="E147" i="20"/>
  <c r="F147" i="20" s="1"/>
  <c r="I146" i="20"/>
  <c r="H146" i="20"/>
  <c r="I70" i="24" l="1"/>
  <c r="E71" i="24"/>
  <c r="F71" i="24" s="1"/>
  <c r="B71" i="24"/>
  <c r="G66" i="25"/>
  <c r="I66" i="25" s="1"/>
  <c r="H67" i="26"/>
  <c r="I67" i="26" s="1"/>
  <c r="D69" i="23"/>
  <c r="E69" i="23" s="1"/>
  <c r="G68" i="23"/>
  <c r="H68" i="23"/>
  <c r="D65" i="31"/>
  <c r="E65" i="31" s="1"/>
  <c r="G64" i="31"/>
  <c r="H64" i="31"/>
  <c r="D65" i="35"/>
  <c r="E65" i="35" s="1"/>
  <c r="H64" i="35"/>
  <c r="G64" i="35"/>
  <c r="D65" i="34"/>
  <c r="E65" i="34" s="1"/>
  <c r="H64" i="34"/>
  <c r="G64" i="34"/>
  <c r="I68" i="21"/>
  <c r="D67" i="13"/>
  <c r="E67" i="13" s="1"/>
  <c r="D66" i="29"/>
  <c r="E66" i="29" s="1"/>
  <c r="D69" i="27"/>
  <c r="E69" i="27" s="1"/>
  <c r="D64" i="37"/>
  <c r="E64" i="37" s="1"/>
  <c r="F68" i="22"/>
  <c r="H68" i="22" s="1"/>
  <c r="B68" i="22"/>
  <c r="B71" i="18"/>
  <c r="F71" i="18"/>
  <c r="H71" i="18" s="1"/>
  <c r="G65" i="29"/>
  <c r="I65" i="29" s="1"/>
  <c r="B71" i="19"/>
  <c r="F71" i="19"/>
  <c r="H71" i="19" s="1"/>
  <c r="H63" i="37"/>
  <c r="I63" i="37" s="1"/>
  <c r="F73" i="3"/>
  <c r="H73" i="3" s="1"/>
  <c r="B73" i="3"/>
  <c r="F69" i="21"/>
  <c r="G69" i="21" s="1"/>
  <c r="B69" i="21"/>
  <c r="B72" i="4"/>
  <c r="F72" i="4"/>
  <c r="D63" i="38"/>
  <c r="E63" i="38" s="1"/>
  <c r="D67" i="25"/>
  <c r="E67" i="25" s="1"/>
  <c r="G66" i="13"/>
  <c r="I66" i="13" s="1"/>
  <c r="I70" i="18"/>
  <c r="H68" i="27"/>
  <c r="I68" i="27" s="1"/>
  <c r="D68" i="26"/>
  <c r="E68" i="26" s="1"/>
  <c r="H62" i="38"/>
  <c r="I62" i="38" s="1"/>
  <c r="I68" i="28"/>
  <c r="J151" i="28"/>
  <c r="H147" i="13"/>
  <c r="I147" i="13"/>
  <c r="B148" i="13"/>
  <c r="F148" i="13"/>
  <c r="G147" i="20"/>
  <c r="D148" i="20"/>
  <c r="J146" i="20"/>
  <c r="G71" i="24" l="1"/>
  <c r="H71" i="24"/>
  <c r="D72" i="24"/>
  <c r="I64" i="34"/>
  <c r="G71" i="18"/>
  <c r="I71" i="18" s="1"/>
  <c r="I68" i="23"/>
  <c r="H74" i="3"/>
  <c r="B69" i="28"/>
  <c r="D73" i="4"/>
  <c r="G73" i="3"/>
  <c r="G74" i="3" s="1"/>
  <c r="D72" i="18"/>
  <c r="E72" i="18" s="1"/>
  <c r="B64" i="37"/>
  <c r="F64" i="37"/>
  <c r="F66" i="29"/>
  <c r="B65" i="34"/>
  <c r="F65" i="34"/>
  <c r="G65" i="34" s="1"/>
  <c r="B65" i="31"/>
  <c r="F65" i="31"/>
  <c r="G65" i="31" s="1"/>
  <c r="D72" i="19"/>
  <c r="E72" i="19" s="1"/>
  <c r="B68" i="26"/>
  <c r="F68" i="26"/>
  <c r="G68" i="26" s="1"/>
  <c r="D70" i="21"/>
  <c r="E70" i="21" s="1"/>
  <c r="B67" i="13"/>
  <c r="F67" i="13"/>
  <c r="G67" i="13" s="1"/>
  <c r="I64" i="35"/>
  <c r="B63" i="38"/>
  <c r="F63" i="38"/>
  <c r="G63" i="38" s="1"/>
  <c r="H69" i="21"/>
  <c r="I69" i="21" s="1"/>
  <c r="B67" i="25"/>
  <c r="F67" i="25"/>
  <c r="H67" i="25" s="1"/>
  <c r="G72" i="4"/>
  <c r="G71" i="19"/>
  <c r="I71" i="19" s="1"/>
  <c r="D69" i="22"/>
  <c r="E69" i="22" s="1"/>
  <c r="B65" i="35"/>
  <c r="F65" i="35"/>
  <c r="H65" i="35" s="1"/>
  <c r="B69" i="23"/>
  <c r="F69" i="23"/>
  <c r="G69" i="23" s="1"/>
  <c r="H72" i="4"/>
  <c r="G68" i="22"/>
  <c r="I68" i="22" s="1"/>
  <c r="F69" i="27"/>
  <c r="H69" i="27" s="1"/>
  <c r="B69" i="27"/>
  <c r="I64" i="31"/>
  <c r="B153" i="28"/>
  <c r="G148" i="13"/>
  <c r="D149" i="13"/>
  <c r="B148" i="20"/>
  <c r="H147" i="20"/>
  <c r="I147" i="20"/>
  <c r="E148" i="20"/>
  <c r="F148" i="20" s="1"/>
  <c r="I71" i="24" l="1"/>
  <c r="H65" i="34"/>
  <c r="I65" i="34" s="1"/>
  <c r="H65" i="31"/>
  <c r="I65" i="31" s="1"/>
  <c r="E72" i="24"/>
  <c r="F72" i="24" s="1"/>
  <c r="B72" i="24"/>
  <c r="G69" i="27"/>
  <c r="I69" i="27" s="1"/>
  <c r="H63" i="38"/>
  <c r="I63" i="38" s="1"/>
  <c r="G67" i="25"/>
  <c r="I67" i="25" s="1"/>
  <c r="H69" i="23"/>
  <c r="I69" i="23" s="1"/>
  <c r="D68" i="13"/>
  <c r="E68" i="13" s="1"/>
  <c r="D69" i="26"/>
  <c r="E69" i="26" s="1"/>
  <c r="B69" i="22"/>
  <c r="F69" i="22"/>
  <c r="G69" i="22" s="1"/>
  <c r="H67" i="13"/>
  <c r="I67" i="13" s="1"/>
  <c r="H68" i="26"/>
  <c r="I68" i="26" s="1"/>
  <c r="B73" i="4"/>
  <c r="D70" i="23"/>
  <c r="E70" i="23" s="1"/>
  <c r="D67" i="29"/>
  <c r="E67" i="29" s="1"/>
  <c r="D70" i="27"/>
  <c r="E70" i="27" s="1"/>
  <c r="D64" i="38"/>
  <c r="E64" i="38" s="1"/>
  <c r="G66" i="29"/>
  <c r="D66" i="35"/>
  <c r="B72" i="19"/>
  <c r="F72" i="19"/>
  <c r="G72" i="19" s="1"/>
  <c r="D66" i="34"/>
  <c r="E66" i="34" s="1"/>
  <c r="H66" i="29"/>
  <c r="F72" i="18"/>
  <c r="H72" i="18" s="1"/>
  <c r="B72" i="18"/>
  <c r="D65" i="37"/>
  <c r="E65" i="37" s="1"/>
  <c r="G64" i="37"/>
  <c r="I73" i="3"/>
  <c r="I74" i="3" s="1"/>
  <c r="I72" i="4"/>
  <c r="G65" i="35"/>
  <c r="I65" i="35" s="1"/>
  <c r="D68" i="25"/>
  <c r="E68" i="25" s="1"/>
  <c r="F70" i="21"/>
  <c r="H70" i="21" s="1"/>
  <c r="B70" i="21"/>
  <c r="D66" i="31"/>
  <c r="E66" i="31" s="1"/>
  <c r="H64" i="37"/>
  <c r="E73" i="4"/>
  <c r="E74" i="4" s="1"/>
  <c r="B149" i="13"/>
  <c r="H148" i="13"/>
  <c r="I148" i="13"/>
  <c r="J152" i="28"/>
  <c r="E149" i="13"/>
  <c r="F149" i="13" s="1"/>
  <c r="D149" i="20"/>
  <c r="G148" i="20"/>
  <c r="J147" i="20"/>
  <c r="D73" i="24" l="1"/>
  <c r="B73" i="24" s="1"/>
  <c r="H72" i="24"/>
  <c r="G72" i="24"/>
  <c r="G72" i="18"/>
  <c r="I72" i="18" s="1"/>
  <c r="G70" i="21"/>
  <c r="I70" i="21" s="1"/>
  <c r="I66" i="29"/>
  <c r="B66" i="35"/>
  <c r="D71" i="21"/>
  <c r="E71" i="21" s="1"/>
  <c r="F73" i="4"/>
  <c r="D70" i="22"/>
  <c r="B66" i="34"/>
  <c r="F66" i="34"/>
  <c r="H66" i="34" s="1"/>
  <c r="F67" i="29"/>
  <c r="I64" i="37"/>
  <c r="F65" i="37"/>
  <c r="H65" i="37" s="1"/>
  <c r="B65" i="37"/>
  <c r="H72" i="19"/>
  <c r="I72" i="19" s="1"/>
  <c r="B68" i="25"/>
  <c r="F68" i="25"/>
  <c r="G68" i="25" s="1"/>
  <c r="D73" i="19"/>
  <c r="E73" i="19" s="1"/>
  <c r="E74" i="19" s="1"/>
  <c r="B64" i="38"/>
  <c r="F64" i="38"/>
  <c r="G64" i="38" s="1"/>
  <c r="F70" i="23"/>
  <c r="H70" i="23" s="1"/>
  <c r="B70" i="23"/>
  <c r="F69" i="26"/>
  <c r="H69" i="26" s="1"/>
  <c r="B69" i="26"/>
  <c r="I69" i="28"/>
  <c r="F66" i="31"/>
  <c r="G66" i="31" s="1"/>
  <c r="B66" i="31"/>
  <c r="D73" i="18"/>
  <c r="E73" i="18" s="1"/>
  <c r="E74" i="18" s="1"/>
  <c r="E66" i="35"/>
  <c r="F66" i="35" s="1"/>
  <c r="B70" i="27"/>
  <c r="F70" i="27"/>
  <c r="G70" i="27" s="1"/>
  <c r="H69" i="22"/>
  <c r="I69" i="22" s="1"/>
  <c r="B68" i="13"/>
  <c r="F68" i="13"/>
  <c r="H68" i="13" s="1"/>
  <c r="B70" i="28"/>
  <c r="G149" i="13"/>
  <c r="D150" i="13"/>
  <c r="B154" i="28"/>
  <c r="H148" i="20"/>
  <c r="I148" i="20"/>
  <c r="B149" i="20"/>
  <c r="E149" i="20"/>
  <c r="F149" i="20" s="1"/>
  <c r="E73" i="24" l="1"/>
  <c r="E74" i="24" s="1"/>
  <c r="I72" i="24"/>
  <c r="I70" i="28"/>
  <c r="G70" i="23"/>
  <c r="I70" i="23" s="1"/>
  <c r="H64" i="38"/>
  <c r="I64" i="38" s="1"/>
  <c r="H66" i="31"/>
  <c r="I66" i="31" s="1"/>
  <c r="H70" i="27"/>
  <c r="I70" i="27" s="1"/>
  <c r="D67" i="35"/>
  <c r="E67" i="35" s="1"/>
  <c r="G66" i="35"/>
  <c r="H66" i="35"/>
  <c r="B70" i="22"/>
  <c r="D69" i="25"/>
  <c r="E69" i="25" s="1"/>
  <c r="D66" i="37"/>
  <c r="E66" i="37" s="1"/>
  <c r="D67" i="34"/>
  <c r="E67" i="34" s="1"/>
  <c r="H73" i="4"/>
  <c r="G73" i="4"/>
  <c r="G74" i="4" s="1"/>
  <c r="F73" i="18"/>
  <c r="H73" i="18" s="1"/>
  <c r="B73" i="18"/>
  <c r="D70" i="26"/>
  <c r="E70" i="26" s="1"/>
  <c r="D65" i="38"/>
  <c r="E65" i="38" s="1"/>
  <c r="B71" i="21"/>
  <c r="F71" i="21"/>
  <c r="H71" i="21" s="1"/>
  <c r="D68" i="29"/>
  <c r="E68" i="29" s="1"/>
  <c r="G69" i="26"/>
  <c r="I69" i="26" s="1"/>
  <c r="G66" i="34"/>
  <c r="I66" i="34" s="1"/>
  <c r="D71" i="27"/>
  <c r="E71" i="27" s="1"/>
  <c r="B73" i="19"/>
  <c r="F73" i="19"/>
  <c r="H73" i="19" s="1"/>
  <c r="G67" i="29"/>
  <c r="D69" i="13"/>
  <c r="E69" i="13" s="1"/>
  <c r="G68" i="13"/>
  <c r="I68" i="13" s="1"/>
  <c r="D67" i="31"/>
  <c r="E67" i="31" s="1"/>
  <c r="D71" i="23"/>
  <c r="E71" i="23" s="1"/>
  <c r="H68" i="25"/>
  <c r="I68" i="25" s="1"/>
  <c r="G65" i="37"/>
  <c r="I65" i="37" s="1"/>
  <c r="H67" i="29"/>
  <c r="E70" i="22"/>
  <c r="F70" i="22" s="1"/>
  <c r="J148" i="20"/>
  <c r="J153" i="28"/>
  <c r="B150" i="13"/>
  <c r="H149" i="13"/>
  <c r="I149" i="13"/>
  <c r="E150" i="13"/>
  <c r="F150" i="13" s="1"/>
  <c r="G149" i="20"/>
  <c r="D150" i="20"/>
  <c r="E156" i="28" l="1"/>
  <c r="F73" i="24"/>
  <c r="G73" i="18"/>
  <c r="G74" i="18" s="1"/>
  <c r="I67" i="29"/>
  <c r="G73" i="19"/>
  <c r="G74" i="19" s="1"/>
  <c r="G71" i="21"/>
  <c r="I71" i="21" s="1"/>
  <c r="I66" i="35"/>
  <c r="D71" i="22"/>
  <c r="E71" i="22" s="1"/>
  <c r="G70" i="22"/>
  <c r="H70" i="22"/>
  <c r="I73" i="4"/>
  <c r="I74" i="4" s="1"/>
  <c r="H74" i="4"/>
  <c r="B67" i="34"/>
  <c r="F67" i="34"/>
  <c r="B71" i="23"/>
  <c r="F71" i="23"/>
  <c r="H71" i="23" s="1"/>
  <c r="F68" i="29"/>
  <c r="G68" i="29" s="1"/>
  <c r="B71" i="28"/>
  <c r="H74" i="18"/>
  <c r="B69" i="13"/>
  <c r="F69" i="13"/>
  <c r="H69" i="13" s="1"/>
  <c r="F65" i="38"/>
  <c r="G65" i="38" s="1"/>
  <c r="B65" i="38"/>
  <c r="B66" i="37"/>
  <c r="F66" i="37"/>
  <c r="G66" i="37" s="1"/>
  <c r="B71" i="27"/>
  <c r="F71" i="27"/>
  <c r="H71" i="27" s="1"/>
  <c r="H74" i="19"/>
  <c r="B67" i="31"/>
  <c r="F67" i="31"/>
  <c r="H67" i="31" s="1"/>
  <c r="D72" i="21"/>
  <c r="E72" i="21" s="1"/>
  <c r="B70" i="26"/>
  <c r="F70" i="26"/>
  <c r="G70" i="26" s="1"/>
  <c r="B69" i="25"/>
  <c r="F69" i="25"/>
  <c r="H69" i="25" s="1"/>
  <c r="B67" i="35"/>
  <c r="F67" i="35"/>
  <c r="H67" i="35" s="1"/>
  <c r="G150" i="13"/>
  <c r="D151" i="13"/>
  <c r="E151" i="13" s="1"/>
  <c r="B155" i="28"/>
  <c r="H149" i="20"/>
  <c r="I149" i="20"/>
  <c r="B150" i="20"/>
  <c r="E150" i="20"/>
  <c r="F150" i="20" s="1"/>
  <c r="H156" i="28" l="1"/>
  <c r="I73" i="18"/>
  <c r="I74" i="18" s="1"/>
  <c r="H73" i="24"/>
  <c r="G73" i="24"/>
  <c r="G74" i="24" s="1"/>
  <c r="I73" i="19"/>
  <c r="I74" i="19" s="1"/>
  <c r="I70" i="22"/>
  <c r="H70" i="26"/>
  <c r="I70" i="26" s="1"/>
  <c r="H65" i="38"/>
  <c r="I65" i="38" s="1"/>
  <c r="G71" i="23"/>
  <c r="I71" i="23" s="1"/>
  <c r="H66" i="37"/>
  <c r="I66" i="37" s="1"/>
  <c r="D70" i="13"/>
  <c r="E70" i="13" s="1"/>
  <c r="D68" i="34"/>
  <c r="E68" i="34" s="1"/>
  <c r="G67" i="34"/>
  <c r="D70" i="25"/>
  <c r="B72" i="21"/>
  <c r="F72" i="21"/>
  <c r="H72" i="21" s="1"/>
  <c r="D72" i="27"/>
  <c r="E72" i="27" s="1"/>
  <c r="G69" i="13"/>
  <c r="I69" i="13" s="1"/>
  <c r="D69" i="29"/>
  <c r="E69" i="29" s="1"/>
  <c r="D67" i="37"/>
  <c r="E67" i="37" s="1"/>
  <c r="G67" i="31"/>
  <c r="I67" i="31" s="1"/>
  <c r="G71" i="27"/>
  <c r="I71" i="27" s="1"/>
  <c r="H68" i="29"/>
  <c r="I68" i="29" s="1"/>
  <c r="H67" i="34"/>
  <c r="D68" i="35"/>
  <c r="E68" i="35" s="1"/>
  <c r="G69" i="25"/>
  <c r="I69" i="25" s="1"/>
  <c r="D71" i="26"/>
  <c r="E71" i="26" s="1"/>
  <c r="D68" i="31"/>
  <c r="E68" i="31" s="1"/>
  <c r="D72" i="23"/>
  <c r="E72" i="23" s="1"/>
  <c r="G67" i="35"/>
  <c r="I67" i="35" s="1"/>
  <c r="D66" i="38"/>
  <c r="E66" i="38" s="1"/>
  <c r="B71" i="22"/>
  <c r="F71" i="22"/>
  <c r="H71" i="22" s="1"/>
  <c r="J154" i="28"/>
  <c r="H150" i="13"/>
  <c r="I150" i="13"/>
  <c r="J149" i="20"/>
  <c r="B151" i="13"/>
  <c r="F151" i="13"/>
  <c r="G150" i="20"/>
  <c r="D151" i="20"/>
  <c r="H74" i="24" l="1"/>
  <c r="I73" i="24"/>
  <c r="I74" i="24" s="1"/>
  <c r="I67" i="34"/>
  <c r="G72" i="21"/>
  <c r="I72" i="21" s="1"/>
  <c r="B70" i="25"/>
  <c r="B68" i="31"/>
  <c r="F68" i="31"/>
  <c r="H68" i="31" s="1"/>
  <c r="F72" i="27"/>
  <c r="G72" i="27" s="1"/>
  <c r="B72" i="27"/>
  <c r="B66" i="38"/>
  <c r="F66" i="38"/>
  <c r="B71" i="26"/>
  <c r="F71" i="26"/>
  <c r="G71" i="26" s="1"/>
  <c r="B68" i="34"/>
  <c r="F68" i="34"/>
  <c r="G68" i="34" s="1"/>
  <c r="I71" i="28"/>
  <c r="F67" i="37"/>
  <c r="H67" i="37" s="1"/>
  <c r="B67" i="37"/>
  <c r="D73" i="21"/>
  <c r="E73" i="21" s="1"/>
  <c r="E74" i="21" s="1"/>
  <c r="D72" i="22"/>
  <c r="E72" i="22" s="1"/>
  <c r="B70" i="13"/>
  <c r="F70" i="13"/>
  <c r="G70" i="13" s="1"/>
  <c r="B72" i="28"/>
  <c r="G71" i="22"/>
  <c r="I71" i="22" s="1"/>
  <c r="B72" i="23"/>
  <c r="F72" i="23"/>
  <c r="G72" i="23" s="1"/>
  <c r="F68" i="35"/>
  <c r="G68" i="35" s="1"/>
  <c r="B68" i="35"/>
  <c r="F69" i="29"/>
  <c r="G69" i="29" s="1"/>
  <c r="E70" i="25"/>
  <c r="F70" i="25" s="1"/>
  <c r="G151" i="13"/>
  <c r="D152" i="13"/>
  <c r="J155" i="28"/>
  <c r="J156" i="28" s="1"/>
  <c r="I156" i="28"/>
  <c r="I150" i="20"/>
  <c r="H150" i="20"/>
  <c r="B151" i="20"/>
  <c r="E151" i="20"/>
  <c r="F151" i="20" s="1"/>
  <c r="G67" i="37" l="1"/>
  <c r="I67" i="37" s="1"/>
  <c r="H68" i="35"/>
  <c r="I68" i="35" s="1"/>
  <c r="H69" i="29"/>
  <c r="I69" i="29" s="1"/>
  <c r="H68" i="34"/>
  <c r="I68" i="34" s="1"/>
  <c r="H70" i="13"/>
  <c r="I70" i="13" s="1"/>
  <c r="H72" i="27"/>
  <c r="I72" i="27" s="1"/>
  <c r="D71" i="25"/>
  <c r="E71" i="25" s="1"/>
  <c r="H70" i="25"/>
  <c r="G70" i="25"/>
  <c r="D67" i="38"/>
  <c r="E67" i="38" s="1"/>
  <c r="D69" i="31"/>
  <c r="E69" i="31" s="1"/>
  <c r="G66" i="38"/>
  <c r="D69" i="35"/>
  <c r="E69" i="35" s="1"/>
  <c r="E74" i="28"/>
  <c r="D68" i="37"/>
  <c r="E68" i="37" s="1"/>
  <c r="I72" i="28"/>
  <c r="D72" i="26"/>
  <c r="E72" i="26" s="1"/>
  <c r="D73" i="23"/>
  <c r="F72" i="22"/>
  <c r="G72" i="22" s="1"/>
  <c r="B72" i="22"/>
  <c r="D70" i="29"/>
  <c r="E70" i="29" s="1"/>
  <c r="D71" i="13"/>
  <c r="E71" i="13" s="1"/>
  <c r="H71" i="26"/>
  <c r="I71" i="26" s="1"/>
  <c r="D73" i="27"/>
  <c r="E73" i="27" s="1"/>
  <c r="E74" i="27" s="1"/>
  <c r="H72" i="23"/>
  <c r="I72" i="23" s="1"/>
  <c r="F73" i="21"/>
  <c r="H73" i="21" s="1"/>
  <c r="B73" i="21"/>
  <c r="D69" i="34"/>
  <c r="E69" i="34" s="1"/>
  <c r="H66" i="38"/>
  <c r="G68" i="31"/>
  <c r="I68" i="31" s="1"/>
  <c r="H151" i="13"/>
  <c r="I151" i="13"/>
  <c r="B152" i="13"/>
  <c r="E152" i="13"/>
  <c r="F152" i="13" s="1"/>
  <c r="G151" i="20"/>
  <c r="D152" i="20"/>
  <c r="J150" i="20"/>
  <c r="I66" i="38" l="1"/>
  <c r="H72" i="22"/>
  <c r="I72" i="22" s="1"/>
  <c r="H74" i="21"/>
  <c r="G73" i="21"/>
  <c r="G74" i="21" s="1"/>
  <c r="F69" i="35"/>
  <c r="H69" i="35" s="1"/>
  <c r="B69" i="35"/>
  <c r="F70" i="29"/>
  <c r="B72" i="26"/>
  <c r="F72" i="26"/>
  <c r="G72" i="26" s="1"/>
  <c r="B67" i="38"/>
  <c r="F67" i="38"/>
  <c r="B73" i="27"/>
  <c r="F73" i="27"/>
  <c r="H73" i="27" s="1"/>
  <c r="B68" i="37"/>
  <c r="F68" i="37"/>
  <c r="G68" i="37" s="1"/>
  <c r="F69" i="31"/>
  <c r="H69" i="31" s="1"/>
  <c r="B69" i="31"/>
  <c r="I70" i="25"/>
  <c r="B73" i="23"/>
  <c r="B69" i="34"/>
  <c r="F69" i="34"/>
  <c r="H69" i="34" s="1"/>
  <c r="D73" i="22"/>
  <c r="F71" i="13"/>
  <c r="H71" i="13" s="1"/>
  <c r="B71" i="13"/>
  <c r="E73" i="23"/>
  <c r="E74" i="23" s="1"/>
  <c r="B73" i="28"/>
  <c r="F71" i="25"/>
  <c r="H71" i="25" s="1"/>
  <c r="B71" i="25"/>
  <c r="G152" i="13"/>
  <c r="D153" i="13"/>
  <c r="E153" i="13" s="1"/>
  <c r="B152" i="20"/>
  <c r="E152" i="20"/>
  <c r="F152" i="20" s="1"/>
  <c r="H151" i="20"/>
  <c r="I151" i="20"/>
  <c r="G69" i="31" l="1"/>
  <c r="I69" i="31" s="1"/>
  <c r="G71" i="13"/>
  <c r="I71" i="13" s="1"/>
  <c r="G69" i="34"/>
  <c r="I69" i="34" s="1"/>
  <c r="H68" i="37"/>
  <c r="I68" i="37" s="1"/>
  <c r="G74" i="28"/>
  <c r="H74" i="27"/>
  <c r="H74" i="28"/>
  <c r="D68" i="38"/>
  <c r="E68" i="38" s="1"/>
  <c r="D72" i="13"/>
  <c r="D70" i="34"/>
  <c r="E70" i="34" s="1"/>
  <c r="G73" i="27"/>
  <c r="G74" i="27" s="1"/>
  <c r="D73" i="26"/>
  <c r="E73" i="26" s="1"/>
  <c r="E74" i="26" s="1"/>
  <c r="D70" i="35"/>
  <c r="E70" i="35" s="1"/>
  <c r="G69" i="35"/>
  <c r="I69" i="35" s="1"/>
  <c r="B73" i="22"/>
  <c r="D71" i="29"/>
  <c r="E71" i="29" s="1"/>
  <c r="D70" i="31"/>
  <c r="E70" i="31" s="1"/>
  <c r="H72" i="26"/>
  <c r="I72" i="26" s="1"/>
  <c r="D69" i="37"/>
  <c r="H67" i="38"/>
  <c r="H70" i="29"/>
  <c r="D72" i="25"/>
  <c r="E72" i="25" s="1"/>
  <c r="G71" i="25"/>
  <c r="I71" i="25" s="1"/>
  <c r="E73" i="22"/>
  <c r="E74" i="22" s="1"/>
  <c r="F73" i="23"/>
  <c r="G67" i="38"/>
  <c r="G70" i="29"/>
  <c r="I73" i="21"/>
  <c r="I74" i="21" s="1"/>
  <c r="B153" i="13"/>
  <c r="F153" i="13"/>
  <c r="H152" i="13"/>
  <c r="I152" i="13"/>
  <c r="G152" i="20"/>
  <c r="D153" i="20"/>
  <c r="J151" i="20"/>
  <c r="I73" i="28" l="1"/>
  <c r="I74" i="28" s="1"/>
  <c r="I70" i="29"/>
  <c r="B70" i="34"/>
  <c r="F70" i="34"/>
  <c r="F68" i="38"/>
  <c r="G68" i="38" s="1"/>
  <c r="B68" i="38"/>
  <c r="B69" i="37"/>
  <c r="B70" i="31"/>
  <c r="F70" i="31"/>
  <c r="H70" i="31" s="1"/>
  <c r="B72" i="25"/>
  <c r="F72" i="25"/>
  <c r="H72" i="25" s="1"/>
  <c r="E72" i="13"/>
  <c r="F72" i="13" s="1"/>
  <c r="F71" i="29"/>
  <c r="H71" i="29" s="1"/>
  <c r="B70" i="35"/>
  <c r="F70" i="35"/>
  <c r="G73" i="23"/>
  <c r="G74" i="23" s="1"/>
  <c r="H73" i="23"/>
  <c r="I67" i="38"/>
  <c r="F73" i="22"/>
  <c r="E69" i="37"/>
  <c r="F69" i="37" s="1"/>
  <c r="B73" i="26"/>
  <c r="F73" i="26"/>
  <c r="H73" i="26" s="1"/>
  <c r="I73" i="27"/>
  <c r="I74" i="27" s="1"/>
  <c r="D154" i="13"/>
  <c r="E154" i="13" s="1"/>
  <c r="G153" i="13"/>
  <c r="H152" i="20"/>
  <c r="I152" i="20"/>
  <c r="B153" i="20"/>
  <c r="E153" i="20"/>
  <c r="F153" i="20" s="1"/>
  <c r="G73" i="26" l="1"/>
  <c r="G74" i="26" s="1"/>
  <c r="G71" i="29"/>
  <c r="I71" i="29" s="1"/>
  <c r="H68" i="38"/>
  <c r="I68" i="38" s="1"/>
  <c r="D73" i="13"/>
  <c r="G72" i="13"/>
  <c r="H72" i="13"/>
  <c r="D70" i="37"/>
  <c r="E70" i="37" s="1"/>
  <c r="H69" i="37"/>
  <c r="G69" i="37"/>
  <c r="D71" i="31"/>
  <c r="E71" i="31" s="1"/>
  <c r="D71" i="35"/>
  <c r="E71" i="35" s="1"/>
  <c r="D73" i="25"/>
  <c r="E73" i="25" s="1"/>
  <c r="E74" i="25" s="1"/>
  <c r="H73" i="22"/>
  <c r="G73" i="22"/>
  <c r="G74" i="22" s="1"/>
  <c r="H70" i="35"/>
  <c r="G72" i="25"/>
  <c r="I72" i="25" s="1"/>
  <c r="G70" i="31"/>
  <c r="I70" i="31" s="1"/>
  <c r="D69" i="38"/>
  <c r="E69" i="38" s="1"/>
  <c r="G70" i="35"/>
  <c r="D71" i="34"/>
  <c r="E71" i="34" s="1"/>
  <c r="H74" i="26"/>
  <c r="H70" i="34"/>
  <c r="D72" i="29"/>
  <c r="E72" i="29" s="1"/>
  <c r="G70" i="34"/>
  <c r="I73" i="23"/>
  <c r="I74" i="23" s="1"/>
  <c r="H74" i="23"/>
  <c r="H153" i="13"/>
  <c r="I153" i="13"/>
  <c r="B154" i="13"/>
  <c r="F154" i="13"/>
  <c r="J152" i="20"/>
  <c r="D154" i="20"/>
  <c r="G153" i="20"/>
  <c r="I73" i="26" l="1"/>
  <c r="I74" i="26" s="1"/>
  <c r="I70" i="34"/>
  <c r="I70" i="35"/>
  <c r="I72" i="13"/>
  <c r="F69" i="38"/>
  <c r="G69" i="38" s="1"/>
  <c r="B69" i="38"/>
  <c r="F73" i="25"/>
  <c r="G73" i="25" s="1"/>
  <c r="G74" i="25" s="1"/>
  <c r="B73" i="25"/>
  <c r="I69" i="37"/>
  <c r="B70" i="37"/>
  <c r="F70" i="37"/>
  <c r="G70" i="37" s="1"/>
  <c r="B71" i="35"/>
  <c r="F71" i="35"/>
  <c r="H71" i="35" s="1"/>
  <c r="F72" i="29"/>
  <c r="B71" i="34"/>
  <c r="F71" i="34"/>
  <c r="H71" i="34" s="1"/>
  <c r="I73" i="22"/>
  <c r="I74" i="22" s="1"/>
  <c r="H74" i="22"/>
  <c r="F71" i="31"/>
  <c r="G71" i="31" s="1"/>
  <c r="B71" i="31"/>
  <c r="B73" i="13"/>
  <c r="E73" i="13"/>
  <c r="E74" i="13" s="1"/>
  <c r="D155" i="13"/>
  <c r="G154" i="13"/>
  <c r="B154" i="20"/>
  <c r="H153" i="20"/>
  <c r="I153" i="20"/>
  <c r="E154" i="20"/>
  <c r="F154" i="20" s="1"/>
  <c r="H71" i="31" l="1"/>
  <c r="I71" i="31" s="1"/>
  <c r="G71" i="34"/>
  <c r="I71" i="34" s="1"/>
  <c r="D72" i="35"/>
  <c r="E72" i="35" s="1"/>
  <c r="D72" i="34"/>
  <c r="E72" i="34" s="1"/>
  <c r="H73" i="25"/>
  <c r="D72" i="31"/>
  <c r="E72" i="31" s="1"/>
  <c r="D73" i="29"/>
  <c r="E73" i="29" s="1"/>
  <c r="E74" i="29" s="1"/>
  <c r="D71" i="37"/>
  <c r="E71" i="37" s="1"/>
  <c r="G72" i="29"/>
  <c r="H70" i="37"/>
  <c r="I70" i="37" s="1"/>
  <c r="F73" i="13"/>
  <c r="H72" i="29"/>
  <c r="D70" i="38"/>
  <c r="E70" i="38" s="1"/>
  <c r="G71" i="35"/>
  <c r="I71" i="35" s="1"/>
  <c r="H69" i="38"/>
  <c r="I69" i="38" s="1"/>
  <c r="B155" i="13"/>
  <c r="H154" i="13"/>
  <c r="I154" i="13"/>
  <c r="J153" i="20"/>
  <c r="E155" i="13"/>
  <c r="E156" i="13" s="1"/>
  <c r="D155" i="20"/>
  <c r="E155" i="20" s="1"/>
  <c r="E156" i="20" s="1"/>
  <c r="G154" i="20"/>
  <c r="I73" i="25" l="1"/>
  <c r="I74" i="25" s="1"/>
  <c r="H74" i="25"/>
  <c r="F72" i="34"/>
  <c r="G72" i="34" s="1"/>
  <c r="B70" i="38"/>
  <c r="F70" i="38"/>
  <c r="F71" i="37"/>
  <c r="G71" i="37" s="1"/>
  <c r="B71" i="37"/>
  <c r="I72" i="29"/>
  <c r="H73" i="13"/>
  <c r="G73" i="13"/>
  <c r="G74" i="13" s="1"/>
  <c r="F73" i="29"/>
  <c r="G73" i="29" s="1"/>
  <c r="G74" i="29" s="1"/>
  <c r="F72" i="35"/>
  <c r="H72" i="35" s="1"/>
  <c r="F72" i="31"/>
  <c r="G72" i="31" s="1"/>
  <c r="B72" i="31"/>
  <c r="F155" i="13"/>
  <c r="G155" i="13" s="1"/>
  <c r="I154" i="20"/>
  <c r="H154" i="20"/>
  <c r="B155" i="20"/>
  <c r="F155" i="20"/>
  <c r="G155" i="20" s="1"/>
  <c r="H72" i="34" l="1"/>
  <c r="I72" i="34" s="1"/>
  <c r="H72" i="31"/>
  <c r="I72" i="31" s="1"/>
  <c r="H73" i="29"/>
  <c r="I73" i="29" s="1"/>
  <c r="I74" i="29" s="1"/>
  <c r="H71" i="37"/>
  <c r="I71" i="37" s="1"/>
  <c r="D71" i="38"/>
  <c r="E71" i="38" s="1"/>
  <c r="G70" i="38"/>
  <c r="D73" i="35"/>
  <c r="E73" i="35" s="1"/>
  <c r="E74" i="35" s="1"/>
  <c r="D73" i="31"/>
  <c r="G72" i="35"/>
  <c r="I72" i="35" s="1"/>
  <c r="D73" i="34"/>
  <c r="E73" i="34" s="1"/>
  <c r="E74" i="34" s="1"/>
  <c r="D72" i="37"/>
  <c r="E72" i="37" s="1"/>
  <c r="I73" i="13"/>
  <c r="I74" i="13" s="1"/>
  <c r="H74" i="13"/>
  <c r="H70" i="38"/>
  <c r="H155" i="13"/>
  <c r="H156" i="13" s="1"/>
  <c r="I155" i="13"/>
  <c r="I156" i="13" s="1"/>
  <c r="H155" i="20"/>
  <c r="H156" i="20" s="1"/>
  <c r="I155" i="20"/>
  <c r="J154" i="20"/>
  <c r="H74" i="29" l="1"/>
  <c r="I70" i="38"/>
  <c r="B73" i="31"/>
  <c r="F73" i="35"/>
  <c r="H73" i="35" s="1"/>
  <c r="B73" i="35"/>
  <c r="B73" i="34"/>
  <c r="F73" i="34"/>
  <c r="H73" i="34" s="1"/>
  <c r="F72" i="37"/>
  <c r="H72" i="37" s="1"/>
  <c r="F71" i="38"/>
  <c r="G71" i="38" s="1"/>
  <c r="B71" i="38"/>
  <c r="E73" i="31"/>
  <c r="E74" i="31" s="1"/>
  <c r="J155" i="20"/>
  <c r="J156" i="20" s="1"/>
  <c r="I156" i="20"/>
  <c r="G73" i="35" l="1"/>
  <c r="G74" i="35" s="1"/>
  <c r="G73" i="34"/>
  <c r="G74" i="34" s="1"/>
  <c r="H71" i="38"/>
  <c r="I71" i="38" s="1"/>
  <c r="H74" i="34"/>
  <c r="H74" i="35"/>
  <c r="D73" i="37"/>
  <c r="F73" i="31"/>
  <c r="G72" i="37"/>
  <c r="I72" i="37" s="1"/>
  <c r="D72" i="38"/>
  <c r="E72" i="38" s="1"/>
  <c r="I73" i="35" l="1"/>
  <c r="I74" i="35" s="1"/>
  <c r="I73" i="34"/>
  <c r="I74" i="34" s="1"/>
  <c r="H73" i="31"/>
  <c r="G73" i="31"/>
  <c r="G74" i="31" s="1"/>
  <c r="B73" i="37"/>
  <c r="E73" i="37"/>
  <c r="E74" i="37" s="1"/>
  <c r="F72" i="38"/>
  <c r="G72" i="38" s="1"/>
  <c r="H72" i="38" l="1"/>
  <c r="I72" i="38" s="1"/>
  <c r="F73" i="37"/>
  <c r="D73" i="38"/>
  <c r="I73" i="31"/>
  <c r="I74" i="31" s="1"/>
  <c r="H74" i="31"/>
  <c r="B73" i="38" l="1"/>
  <c r="E73" i="38"/>
  <c r="E74" i="38" s="1"/>
  <c r="G73" i="37"/>
  <c r="G74" i="37" s="1"/>
  <c r="H73" i="37"/>
  <c r="I73" i="37" l="1"/>
  <c r="I74" i="37" s="1"/>
  <c r="H74" i="37"/>
  <c r="F73" i="38"/>
  <c r="G73" i="38" l="1"/>
  <c r="G74" i="38" s="1"/>
  <c r="H73" i="38"/>
  <c r="I73" i="38" l="1"/>
  <c r="I74" i="38" s="1"/>
  <c r="H74" i="38"/>
  <c r="J93" i="3" l="1"/>
  <c r="L87" i="3" l="1"/>
  <c r="N88" i="3"/>
  <c r="M88" i="3"/>
  <c r="J93" i="38"/>
  <c r="N88" i="38" s="1"/>
  <c r="J93" i="24"/>
  <c r="J93" i="13"/>
  <c r="M19" i="2"/>
  <c r="A4" i="2"/>
  <c r="J93" i="18"/>
  <c r="J93" i="19"/>
  <c r="J93" i="23"/>
  <c r="J93" i="25"/>
  <c r="J93" i="27"/>
  <c r="J93" i="26"/>
  <c r="J93" i="28"/>
  <c r="J93" i="35"/>
  <c r="J93" i="34"/>
  <c r="J93" i="37"/>
  <c r="J93" i="20"/>
  <c r="J93" i="31"/>
  <c r="J93" i="29"/>
  <c r="J93" i="22"/>
  <c r="J93" i="21"/>
  <c r="J93" i="4"/>
  <c r="L87" i="4" l="1"/>
  <c r="N88" i="4"/>
  <c r="M88" i="4"/>
  <c r="M88" i="31"/>
  <c r="L87" i="31"/>
  <c r="N88" i="31"/>
  <c r="M88" i="20"/>
  <c r="L87" i="20"/>
  <c r="N88" i="20"/>
  <c r="N89" i="20"/>
  <c r="M89" i="20"/>
  <c r="N88" i="23"/>
  <c r="M88" i="23"/>
  <c r="L87" i="23"/>
  <c r="N88" i="22"/>
  <c r="L87" i="22"/>
  <c r="M88" i="22"/>
  <c r="N88" i="26"/>
  <c r="M88" i="26"/>
  <c r="L87" i="26"/>
  <c r="L87" i="13"/>
  <c r="N88" i="13"/>
  <c r="M89" i="13"/>
  <c r="N89" i="13"/>
  <c r="M88" i="13"/>
  <c r="O88" i="3"/>
  <c r="M88" i="35"/>
  <c r="L87" i="35"/>
  <c r="N88" i="35"/>
  <c r="N88" i="21"/>
  <c r="L87" i="21"/>
  <c r="M88" i="21"/>
  <c r="N89" i="28"/>
  <c r="N88" i="28"/>
  <c r="L87" i="28"/>
  <c r="M88" i="28"/>
  <c r="M89" i="28"/>
  <c r="M88" i="37"/>
  <c r="L87" i="37"/>
  <c r="N88" i="37"/>
  <c r="M88" i="19"/>
  <c r="N88" i="19"/>
  <c r="L87" i="19"/>
  <c r="M88" i="29"/>
  <c r="N88" i="29"/>
  <c r="L87" i="29"/>
  <c r="N88" i="34"/>
  <c r="L87" i="34"/>
  <c r="M88" i="34"/>
  <c r="L87" i="27"/>
  <c r="M88" i="27"/>
  <c r="N88" i="27"/>
  <c r="L87" i="18"/>
  <c r="M88" i="18"/>
  <c r="N88" i="18"/>
  <c r="N88" i="24"/>
  <c r="L87" i="24"/>
  <c r="M88" i="24"/>
  <c r="N88" i="25"/>
  <c r="L87" i="25"/>
  <c r="M88" i="25"/>
  <c r="M88" i="38"/>
  <c r="O88" i="38" s="1"/>
  <c r="L87" i="38"/>
  <c r="M90" i="20" l="1"/>
  <c r="O88" i="35"/>
  <c r="O88" i="27"/>
  <c r="O88" i="19"/>
  <c r="O88" i="34"/>
  <c r="O88" i="29"/>
  <c r="M90" i="28"/>
  <c r="O88" i="31"/>
  <c r="O88" i="37"/>
  <c r="O88" i="4"/>
  <c r="O88" i="22"/>
  <c r="O88" i="26"/>
  <c r="O88" i="25"/>
  <c r="M90" i="13"/>
  <c r="O88" i="20"/>
  <c r="O88" i="18"/>
  <c r="O88" i="28"/>
  <c r="O88" i="13"/>
  <c r="O89" i="28"/>
  <c r="N90" i="28"/>
  <c r="O88" i="24"/>
  <c r="O88" i="21"/>
  <c r="O88" i="23"/>
  <c r="O89" i="13"/>
  <c r="N90" i="13"/>
  <c r="O89" i="20"/>
  <c r="N90" i="20"/>
  <c r="I22" i="17"/>
  <c r="I30" i="17"/>
  <c r="O90" i="28" l="1"/>
  <c r="O90" i="20"/>
  <c r="O90" i="13"/>
  <c r="D25" i="17"/>
  <c r="D18" i="17"/>
  <c r="D22" i="17"/>
  <c r="D20" i="17"/>
  <c r="D19" i="17"/>
  <c r="D24" i="17"/>
  <c r="D27" i="17"/>
  <c r="D21" i="17"/>
  <c r="D23" i="17"/>
  <c r="D26" i="17"/>
  <c r="L87" i="42" l="1"/>
  <c r="N88" i="42"/>
  <c r="M88" i="42"/>
  <c r="N88" i="40" l="1"/>
  <c r="O88" i="42"/>
  <c r="L87" i="40"/>
  <c r="M88" i="40"/>
  <c r="M88" i="41"/>
  <c r="L87" i="41"/>
  <c r="N88" i="41"/>
  <c r="N17" i="2" l="1"/>
  <c r="R132" i="2" s="1"/>
  <c r="O88" i="40"/>
  <c r="O17" i="2"/>
  <c r="R133" i="2" s="1"/>
  <c r="O88" i="41"/>
  <c r="P17" i="2" l="1"/>
  <c r="H107" i="42" l="1"/>
  <c r="H106" i="42"/>
  <c r="H105" i="42"/>
  <c r="H104" i="42"/>
  <c r="H103" i="42"/>
  <c r="M89" i="42"/>
  <c r="M90" i="42" s="1"/>
  <c r="H101" i="42"/>
  <c r="L101" i="42" s="1"/>
  <c r="M101" i="42" s="1"/>
  <c r="H102" i="42"/>
  <c r="H108" i="42"/>
  <c r="H109" i="42"/>
  <c r="H110" i="42"/>
  <c r="H111" i="42"/>
  <c r="H112" i="42"/>
  <c r="H113" i="42"/>
  <c r="H114" i="42"/>
  <c r="H115" i="42"/>
  <c r="H116" i="42"/>
  <c r="H117" i="42"/>
  <c r="H118" i="42"/>
  <c r="H119" i="42"/>
  <c r="H120" i="42"/>
  <c r="H121" i="42"/>
  <c r="H122" i="42"/>
  <c r="H123" i="42"/>
  <c r="H124" i="42"/>
  <c r="H125" i="42"/>
  <c r="H126" i="42"/>
  <c r="H127" i="42"/>
  <c r="H128" i="42"/>
  <c r="H129" i="42"/>
  <c r="H130" i="42"/>
  <c r="H131" i="42"/>
  <c r="H132" i="42"/>
  <c r="H133" i="42"/>
  <c r="H134" i="42"/>
  <c r="H135" i="42"/>
  <c r="H136" i="42"/>
  <c r="H137" i="42"/>
  <c r="H138" i="42"/>
  <c r="H139" i="42"/>
  <c r="H140" i="42"/>
  <c r="H141" i="42"/>
  <c r="H142" i="42"/>
  <c r="H143" i="42"/>
  <c r="H144" i="42"/>
  <c r="H145" i="42"/>
  <c r="H146" i="42"/>
  <c r="H147" i="42"/>
  <c r="H148" i="42"/>
  <c r="H149" i="42"/>
  <c r="H150" i="42"/>
  <c r="H151" i="42"/>
  <c r="H152" i="42"/>
  <c r="H153" i="42"/>
  <c r="H154" i="42"/>
  <c r="H155" i="42"/>
  <c r="I40" i="17"/>
  <c r="H156" i="42" l="1"/>
  <c r="L100" i="42"/>
  <c r="M100" i="42" s="1"/>
  <c r="I155" i="42"/>
  <c r="I154" i="42"/>
  <c r="I153" i="42"/>
  <c r="I152" i="42"/>
  <c r="I151" i="42"/>
  <c r="I150" i="42"/>
  <c r="I149" i="42"/>
  <c r="I148" i="42"/>
  <c r="I147" i="42"/>
  <c r="I146" i="42"/>
  <c r="I145" i="42"/>
  <c r="I144" i="42"/>
  <c r="I143" i="42"/>
  <c r="I142" i="42"/>
  <c r="I141" i="42"/>
  <c r="I140" i="42"/>
  <c r="I139" i="42"/>
  <c r="I138" i="42"/>
  <c r="I137" i="42"/>
  <c r="I136" i="42"/>
  <c r="I135" i="42"/>
  <c r="I134" i="42"/>
  <c r="I133" i="42"/>
  <c r="I132" i="42"/>
  <c r="I131" i="42"/>
  <c r="J131" i="42" s="1"/>
  <c r="I130" i="42"/>
  <c r="J130" i="42" s="1"/>
  <c r="I129" i="42"/>
  <c r="J129" i="42" s="1"/>
  <c r="I128" i="42"/>
  <c r="J128" i="42" s="1"/>
  <c r="I127" i="42"/>
  <c r="J127" i="42" s="1"/>
  <c r="I126" i="42"/>
  <c r="J126" i="42" s="1"/>
  <c r="I125" i="42"/>
  <c r="J125" i="42" s="1"/>
  <c r="I124" i="42"/>
  <c r="J124" i="42" s="1"/>
  <c r="I123" i="42"/>
  <c r="J123" i="42" s="1"/>
  <c r="I122" i="42"/>
  <c r="J122" i="42" s="1"/>
  <c r="I121" i="42"/>
  <c r="J121" i="42" s="1"/>
  <c r="I120" i="42"/>
  <c r="J120" i="42" s="1"/>
  <c r="I119" i="42"/>
  <c r="J119" i="42" s="1"/>
  <c r="I118" i="42"/>
  <c r="J118" i="42" s="1"/>
  <c r="I117" i="42"/>
  <c r="J117" i="42" s="1"/>
  <c r="I116" i="42"/>
  <c r="J116" i="42" s="1"/>
  <c r="I115" i="42"/>
  <c r="J115" i="42" s="1"/>
  <c r="I114" i="42"/>
  <c r="J114" i="42" s="1"/>
  <c r="I113" i="42"/>
  <c r="J113" i="42" s="1"/>
  <c r="I112" i="42"/>
  <c r="J112" i="42" s="1"/>
  <c r="I111" i="42"/>
  <c r="J111" i="42" s="1"/>
  <c r="I110" i="42"/>
  <c r="J110" i="42" s="1"/>
  <c r="I109" i="42"/>
  <c r="J109" i="42" s="1"/>
  <c r="I108" i="42"/>
  <c r="J108" i="42" s="1"/>
  <c r="I107" i="42"/>
  <c r="J107" i="42" s="1"/>
  <c r="I105" i="42"/>
  <c r="J105" i="42" s="1"/>
  <c r="I103" i="42"/>
  <c r="J103" i="42" s="1"/>
  <c r="I101" i="42"/>
  <c r="I106" i="42"/>
  <c r="J106" i="42" s="1"/>
  <c r="I104" i="42"/>
  <c r="J104" i="42" s="1"/>
  <c r="I102" i="42"/>
  <c r="J102" i="42" s="1"/>
  <c r="G19" i="42"/>
  <c r="G20" i="42"/>
  <c r="G21" i="42"/>
  <c r="G22" i="42"/>
  <c r="G23" i="42"/>
  <c r="G24" i="42"/>
  <c r="G25" i="42"/>
  <c r="G26" i="42"/>
  <c r="G27" i="42"/>
  <c r="G28" i="42"/>
  <c r="G29" i="42"/>
  <c r="G30" i="42"/>
  <c r="G31" i="42"/>
  <c r="G32" i="42"/>
  <c r="G33" i="42"/>
  <c r="G34" i="42"/>
  <c r="G35" i="42"/>
  <c r="G36" i="42"/>
  <c r="G37" i="42"/>
  <c r="G38" i="42"/>
  <c r="G39" i="42"/>
  <c r="G40" i="42"/>
  <c r="G41" i="42"/>
  <c r="G42" i="42"/>
  <c r="G43" i="42"/>
  <c r="G44" i="42"/>
  <c r="G45" i="42"/>
  <c r="G46" i="42"/>
  <c r="G47" i="42"/>
  <c r="G48" i="42"/>
  <c r="G49" i="42"/>
  <c r="G50" i="42"/>
  <c r="G51" i="42"/>
  <c r="G52" i="42"/>
  <c r="G53" i="42"/>
  <c r="G54" i="42"/>
  <c r="G55" i="42"/>
  <c r="G56" i="42"/>
  <c r="G57" i="42"/>
  <c r="G58" i="42"/>
  <c r="G59" i="42"/>
  <c r="G60" i="42"/>
  <c r="G61" i="42"/>
  <c r="G62" i="42"/>
  <c r="G63" i="42"/>
  <c r="G64" i="42"/>
  <c r="G65" i="42"/>
  <c r="G66" i="42"/>
  <c r="G67" i="42"/>
  <c r="G68" i="42"/>
  <c r="G69" i="42"/>
  <c r="G70" i="42"/>
  <c r="G71" i="42"/>
  <c r="G72" i="42"/>
  <c r="G73" i="42"/>
  <c r="J101" i="42" l="1"/>
  <c r="N101" i="42"/>
  <c r="O101" i="42" s="1"/>
  <c r="P101" i="42" s="1"/>
  <c r="N89" i="42"/>
  <c r="O89" i="42" s="1"/>
  <c r="O90" i="42" s="1"/>
  <c r="G74" i="42"/>
  <c r="N5" i="42"/>
  <c r="I18" i="42"/>
  <c r="H19" i="42"/>
  <c r="I19" i="42" s="1"/>
  <c r="H20" i="42"/>
  <c r="I20" i="42" s="1"/>
  <c r="H21" i="42"/>
  <c r="I21" i="42" s="1"/>
  <c r="H22" i="42"/>
  <c r="I22" i="42" s="1"/>
  <c r="H23" i="42"/>
  <c r="I23" i="42" s="1"/>
  <c r="H24" i="42"/>
  <c r="I24" i="42" s="1"/>
  <c r="H25" i="42"/>
  <c r="I25" i="42" s="1"/>
  <c r="H26" i="42"/>
  <c r="I26" i="42" s="1"/>
  <c r="H27" i="42"/>
  <c r="I27" i="42" s="1"/>
  <c r="H28" i="42"/>
  <c r="I28" i="42" s="1"/>
  <c r="H29" i="42"/>
  <c r="I29" i="42" s="1"/>
  <c r="H30" i="42"/>
  <c r="I30" i="42" s="1"/>
  <c r="H31" i="42"/>
  <c r="I31" i="42" s="1"/>
  <c r="H32" i="42"/>
  <c r="I32" i="42" s="1"/>
  <c r="H33" i="42"/>
  <c r="I33" i="42" s="1"/>
  <c r="H34" i="42"/>
  <c r="I34" i="42" s="1"/>
  <c r="H35" i="42"/>
  <c r="I35" i="42" s="1"/>
  <c r="H36" i="42"/>
  <c r="I36" i="42" s="1"/>
  <c r="H37" i="42"/>
  <c r="I37" i="42" s="1"/>
  <c r="H38" i="42"/>
  <c r="I38" i="42" s="1"/>
  <c r="H39" i="42"/>
  <c r="I39" i="42" s="1"/>
  <c r="H40" i="42"/>
  <c r="I40" i="42" s="1"/>
  <c r="H41" i="42"/>
  <c r="I41" i="42" s="1"/>
  <c r="H42" i="42"/>
  <c r="I42" i="42" s="1"/>
  <c r="H43" i="42"/>
  <c r="I43" i="42" s="1"/>
  <c r="H44" i="42"/>
  <c r="I44" i="42" s="1"/>
  <c r="H45" i="42"/>
  <c r="I45" i="42" s="1"/>
  <c r="H46" i="42"/>
  <c r="I46" i="42" s="1"/>
  <c r="H47" i="42"/>
  <c r="I47" i="42" s="1"/>
  <c r="H48" i="42"/>
  <c r="I48" i="42" s="1"/>
  <c r="H49" i="42"/>
  <c r="I49" i="42" s="1"/>
  <c r="H50" i="42"/>
  <c r="I50" i="42" s="1"/>
  <c r="H51" i="42"/>
  <c r="I51" i="42" s="1"/>
  <c r="H52" i="42"/>
  <c r="I52" i="42" s="1"/>
  <c r="H53" i="42"/>
  <c r="I53" i="42" s="1"/>
  <c r="H54" i="42"/>
  <c r="I54" i="42" s="1"/>
  <c r="H55" i="42"/>
  <c r="I55" i="42" s="1"/>
  <c r="H56" i="42"/>
  <c r="I56" i="42" s="1"/>
  <c r="H57" i="42"/>
  <c r="I57" i="42" s="1"/>
  <c r="H58" i="42"/>
  <c r="I58" i="42" s="1"/>
  <c r="H59" i="42"/>
  <c r="I59" i="42" s="1"/>
  <c r="H60" i="42"/>
  <c r="I60" i="42" s="1"/>
  <c r="H61" i="42"/>
  <c r="I61" i="42" s="1"/>
  <c r="H62" i="42"/>
  <c r="I62" i="42" s="1"/>
  <c r="H63" i="42"/>
  <c r="I63" i="42" s="1"/>
  <c r="H64" i="42"/>
  <c r="I64" i="42" s="1"/>
  <c r="H65" i="42"/>
  <c r="I65" i="42" s="1"/>
  <c r="H66" i="42"/>
  <c r="I66" i="42" s="1"/>
  <c r="H67" i="42"/>
  <c r="I67" i="42" s="1"/>
  <c r="H68" i="42"/>
  <c r="I68" i="42" s="1"/>
  <c r="H69" i="42"/>
  <c r="I69" i="42" s="1"/>
  <c r="H70" i="42"/>
  <c r="I70" i="42" s="1"/>
  <c r="H71" i="42"/>
  <c r="I71" i="42" s="1"/>
  <c r="H72" i="42"/>
  <c r="I72" i="42" s="1"/>
  <c r="H73" i="42"/>
  <c r="I73" i="42" s="1"/>
  <c r="I156" i="42"/>
  <c r="J100" i="42"/>
  <c r="J156" i="42" s="1"/>
  <c r="N100" i="42"/>
  <c r="O100" i="42" s="1"/>
  <c r="P100" i="42" s="1"/>
  <c r="N90" i="42" l="1"/>
  <c r="H74" i="42"/>
  <c r="I74" i="42"/>
  <c r="N6" i="42"/>
  <c r="N7" i="42" s="1"/>
  <c r="F40" i="17"/>
  <c r="G40" i="17" l="1"/>
  <c r="C73" i="41"/>
  <c r="C73" i="42"/>
  <c r="C73" i="40" l="1"/>
  <c r="L100" i="41" l="1"/>
  <c r="M100" i="41" s="1"/>
  <c r="L100" i="40"/>
  <c r="M100" i="40" s="1"/>
  <c r="N100" i="41"/>
  <c r="O100" i="41" s="1"/>
  <c r="J100" i="41"/>
  <c r="J100" i="40"/>
  <c r="N100" i="40"/>
  <c r="O100" i="40" s="1"/>
  <c r="P100" i="40" l="1"/>
  <c r="P100" i="41"/>
  <c r="N5" i="41"/>
  <c r="B18" i="41"/>
  <c r="I17" i="41"/>
  <c r="N6" i="41"/>
  <c r="N7" i="41" l="1"/>
  <c r="L22" i="17"/>
  <c r="V22" i="17" s="1"/>
  <c r="N5" i="40"/>
  <c r="M19" i="1" s="1"/>
  <c r="B18" i="40"/>
  <c r="I17" i="40"/>
  <c r="N6" i="40"/>
  <c r="F39" i="17"/>
  <c r="G39" i="17" l="1"/>
  <c r="I18" i="41"/>
  <c r="M20" i="1"/>
  <c r="R128" i="1"/>
  <c r="N7" i="40"/>
  <c r="N19" i="1"/>
  <c r="F38" i="17"/>
  <c r="G38" i="17" l="1"/>
  <c r="G46" i="17" s="1"/>
  <c r="F46" i="17"/>
  <c r="R129" i="1"/>
  <c r="O19" i="1"/>
  <c r="N20" i="1"/>
  <c r="I18" i="40"/>
  <c r="J46" i="17" l="1"/>
  <c r="F47" i="17"/>
  <c r="R130" i="1"/>
  <c r="O20" i="1"/>
  <c r="K43" i="17" l="1"/>
  <c r="L43" i="17" s="1"/>
  <c r="V43" i="17" s="1"/>
  <c r="K42" i="17"/>
  <c r="L42" i="17" s="1"/>
  <c r="V42" i="17" s="1"/>
  <c r="K41" i="17"/>
  <c r="L41" i="17" s="1"/>
  <c r="V41" i="17" s="1"/>
  <c r="K40" i="17"/>
  <c r="L40" i="17" s="1"/>
  <c r="V40" i="17" s="1"/>
  <c r="J97" i="41" l="1"/>
  <c r="J97" i="40"/>
  <c r="I14" i="41"/>
  <c r="I14" i="40"/>
  <c r="I14" i="39"/>
  <c r="B101" i="41" l="1"/>
  <c r="B101" i="40"/>
  <c r="B103" i="39"/>
  <c r="B19" i="41"/>
  <c r="B19" i="40"/>
  <c r="B21" i="39"/>
  <c r="B102" i="40" l="1"/>
  <c r="J101" i="41" l="1"/>
  <c r="J103" i="39"/>
  <c r="D103" i="40"/>
  <c r="B103" i="40" s="1"/>
  <c r="B102" i="41"/>
  <c r="J101" i="40"/>
  <c r="B104" i="39"/>
  <c r="I19" i="40"/>
  <c r="B20" i="41"/>
  <c r="I19" i="41"/>
  <c r="B20" i="40"/>
  <c r="B22" i="39"/>
  <c r="I21" i="39"/>
  <c r="E103" i="41" l="1"/>
  <c r="D103" i="41"/>
  <c r="B103" i="41" s="1"/>
  <c r="E103" i="40"/>
  <c r="F103" i="40" s="1"/>
  <c r="G103" i="40" s="1"/>
  <c r="D105" i="39"/>
  <c r="D21" i="41"/>
  <c r="E21" i="41"/>
  <c r="D21" i="40"/>
  <c r="E21" i="40"/>
  <c r="I22" i="39"/>
  <c r="D23" i="39"/>
  <c r="E23" i="39"/>
  <c r="J102" i="41" l="1"/>
  <c r="F103" i="41"/>
  <c r="J102" i="40"/>
  <c r="E104" i="40"/>
  <c r="D104" i="40"/>
  <c r="J104" i="39"/>
  <c r="H103" i="40"/>
  <c r="M89" i="40" s="1"/>
  <c r="M90" i="40" s="1"/>
  <c r="I103" i="40"/>
  <c r="N89" i="40" s="1"/>
  <c r="N90" i="40" s="1"/>
  <c r="B105" i="39"/>
  <c r="F21" i="41"/>
  <c r="G21" i="41" s="1"/>
  <c r="B21" i="41"/>
  <c r="I20" i="41"/>
  <c r="B21" i="40"/>
  <c r="F21" i="40"/>
  <c r="G21" i="40" s="1"/>
  <c r="I20" i="40"/>
  <c r="F23" i="39"/>
  <c r="G23" i="39" s="1"/>
  <c r="B23" i="39"/>
  <c r="I38" i="17"/>
  <c r="O89" i="40" l="1"/>
  <c r="O90" i="40" s="1"/>
  <c r="E104" i="41"/>
  <c r="G103" i="41"/>
  <c r="D104" i="41"/>
  <c r="F104" i="40"/>
  <c r="G104" i="40" s="1"/>
  <c r="B104" i="40"/>
  <c r="J103" i="40"/>
  <c r="H21" i="41"/>
  <c r="I21" i="41" s="1"/>
  <c r="H21" i="40"/>
  <c r="I21" i="40" s="1"/>
  <c r="D22" i="41"/>
  <c r="E22" i="41"/>
  <c r="D22" i="40"/>
  <c r="E22" i="40"/>
  <c r="H23" i="39"/>
  <c r="D24" i="39"/>
  <c r="E24" i="39"/>
  <c r="D105" i="40" l="1"/>
  <c r="B105" i="40" s="1"/>
  <c r="E105" i="40"/>
  <c r="B104" i="41"/>
  <c r="F104" i="41"/>
  <c r="H103" i="41"/>
  <c r="M89" i="41" s="1"/>
  <c r="M90" i="41" s="1"/>
  <c r="I103" i="41"/>
  <c r="N89" i="41" s="1"/>
  <c r="H104" i="40"/>
  <c r="I104" i="40"/>
  <c r="F22" i="41"/>
  <c r="H22" i="41" s="1"/>
  <c r="B22" i="41"/>
  <c r="B22" i="40"/>
  <c r="F22" i="40"/>
  <c r="G22" i="40" s="1"/>
  <c r="F24" i="39"/>
  <c r="H24" i="39" s="1"/>
  <c r="B24" i="39"/>
  <c r="I23" i="39"/>
  <c r="I39" i="17"/>
  <c r="N90" i="41" l="1"/>
  <c r="O89" i="41"/>
  <c r="O90" i="41" s="1"/>
  <c r="F105" i="40"/>
  <c r="G105" i="40" s="1"/>
  <c r="J103" i="41"/>
  <c r="G104" i="41"/>
  <c r="D105" i="41"/>
  <c r="E105" i="41"/>
  <c r="J104" i="40"/>
  <c r="G22" i="41"/>
  <c r="I22" i="41" s="1"/>
  <c r="D23" i="41"/>
  <c r="E23" i="41"/>
  <c r="H22" i="40"/>
  <c r="I22" i="40" s="1"/>
  <c r="D23" i="40"/>
  <c r="E23" i="40"/>
  <c r="G24" i="39"/>
  <c r="I24" i="39" s="1"/>
  <c r="D25" i="39"/>
  <c r="E25" i="39"/>
  <c r="E106" i="40" l="1"/>
  <c r="D106" i="40"/>
  <c r="B106" i="40" s="1"/>
  <c r="B105" i="41"/>
  <c r="F105" i="41"/>
  <c r="H104" i="41"/>
  <c r="I104" i="41"/>
  <c r="I105" i="40"/>
  <c r="H105" i="40"/>
  <c r="F23" i="41"/>
  <c r="H23" i="41" s="1"/>
  <c r="B23" i="41"/>
  <c r="F23" i="40"/>
  <c r="H23" i="40" s="1"/>
  <c r="B23" i="40"/>
  <c r="F25" i="39"/>
  <c r="H25" i="39" s="1"/>
  <c r="B25" i="39"/>
  <c r="F106" i="40" l="1"/>
  <c r="J104" i="41"/>
  <c r="G105" i="41"/>
  <c r="E106" i="41"/>
  <c r="D106" i="41"/>
  <c r="J105" i="40"/>
  <c r="D107" i="40"/>
  <c r="B107" i="40" s="1"/>
  <c r="G106" i="40"/>
  <c r="E107" i="40"/>
  <c r="G23" i="41"/>
  <c r="I23" i="41" s="1"/>
  <c r="D24" i="41"/>
  <c r="E24" i="41"/>
  <c r="G23" i="40"/>
  <c r="I23" i="40" s="1"/>
  <c r="D24" i="40"/>
  <c r="E24" i="40"/>
  <c r="G25" i="39"/>
  <c r="I25" i="39" s="1"/>
  <c r="D26" i="39"/>
  <c r="E26" i="39"/>
  <c r="B106" i="41" l="1"/>
  <c r="F106" i="41"/>
  <c r="H105" i="41"/>
  <c r="I105" i="41"/>
  <c r="F107" i="40"/>
  <c r="G107" i="40" s="1"/>
  <c r="H106" i="40"/>
  <c r="I106" i="40"/>
  <c r="F24" i="41"/>
  <c r="H24" i="41" s="1"/>
  <c r="B24" i="41"/>
  <c r="F24" i="40"/>
  <c r="G24" i="40" s="1"/>
  <c r="B24" i="40"/>
  <c r="B26" i="39"/>
  <c r="F26" i="39"/>
  <c r="G26" i="39" s="1"/>
  <c r="J105" i="41" l="1"/>
  <c r="E108" i="40"/>
  <c r="D107" i="41"/>
  <c r="G106" i="41"/>
  <c r="E107" i="41"/>
  <c r="D108" i="40"/>
  <c r="B108" i="40" s="1"/>
  <c r="J106" i="40"/>
  <c r="G24" i="41"/>
  <c r="I24" i="41" s="1"/>
  <c r="H107" i="40"/>
  <c r="I107" i="40"/>
  <c r="D25" i="41"/>
  <c r="E25" i="41"/>
  <c r="H24" i="40"/>
  <c r="I24" i="40" s="1"/>
  <c r="D25" i="40"/>
  <c r="E25" i="40"/>
  <c r="H26" i="39"/>
  <c r="I26" i="39" s="1"/>
  <c r="D27" i="39"/>
  <c r="E27" i="39"/>
  <c r="H106" i="41" l="1"/>
  <c r="I106" i="41"/>
  <c r="B107" i="41"/>
  <c r="F107" i="41"/>
  <c r="F108" i="40"/>
  <c r="D109" i="40" s="1"/>
  <c r="B109" i="40" s="1"/>
  <c r="J107" i="40"/>
  <c r="F25" i="41"/>
  <c r="H25" i="41" s="1"/>
  <c r="B25" i="41"/>
  <c r="B25" i="40"/>
  <c r="F25" i="40"/>
  <c r="G25" i="40" s="1"/>
  <c r="B27" i="39"/>
  <c r="F27" i="39"/>
  <c r="H27" i="39" s="1"/>
  <c r="J106" i="41" l="1"/>
  <c r="G107" i="41"/>
  <c r="D108" i="41"/>
  <c r="E108" i="41"/>
  <c r="G108" i="40"/>
  <c r="I108" i="40" s="1"/>
  <c r="E109" i="40"/>
  <c r="F109" i="40" s="1"/>
  <c r="H108" i="40"/>
  <c r="G25" i="41"/>
  <c r="I25" i="41" s="1"/>
  <c r="H25" i="40"/>
  <c r="I25" i="40" s="1"/>
  <c r="D26" i="41"/>
  <c r="E26" i="41"/>
  <c r="D26" i="40"/>
  <c r="E26" i="40"/>
  <c r="G27" i="39"/>
  <c r="I27" i="39" s="1"/>
  <c r="D28" i="39"/>
  <c r="E28" i="39"/>
  <c r="B108" i="41" l="1"/>
  <c r="F108" i="41"/>
  <c r="H108" i="41" s="1"/>
  <c r="H107" i="41"/>
  <c r="I107" i="41"/>
  <c r="J108" i="40"/>
  <c r="E110" i="40"/>
  <c r="D110" i="40"/>
  <c r="H109" i="40"/>
  <c r="G109" i="40"/>
  <c r="I109" i="40" s="1"/>
  <c r="B26" i="41"/>
  <c r="F26" i="41"/>
  <c r="H26" i="41" s="1"/>
  <c r="F26" i="40"/>
  <c r="H26" i="40" s="1"/>
  <c r="B26" i="40"/>
  <c r="F28" i="39"/>
  <c r="G28" i="39" s="1"/>
  <c r="B28" i="39"/>
  <c r="J107" i="41" l="1"/>
  <c r="G108" i="41"/>
  <c r="I108" i="41" s="1"/>
  <c r="J108" i="41" s="1"/>
  <c r="D109" i="41"/>
  <c r="E109" i="41"/>
  <c r="J109" i="40"/>
  <c r="B110" i="40"/>
  <c r="F110" i="40"/>
  <c r="G26" i="41"/>
  <c r="I26" i="41" s="1"/>
  <c r="D27" i="41"/>
  <c r="E27" i="41"/>
  <c r="G26" i="40"/>
  <c r="I26" i="40" s="1"/>
  <c r="D27" i="40"/>
  <c r="E27" i="40"/>
  <c r="H28" i="39"/>
  <c r="I28" i="39" s="1"/>
  <c r="D29" i="39"/>
  <c r="E29" i="39"/>
  <c r="B109" i="41" l="1"/>
  <c r="F109" i="41"/>
  <c r="D111" i="40"/>
  <c r="G110" i="40"/>
  <c r="I110" i="40" s="1"/>
  <c r="E111" i="40"/>
  <c r="H110" i="40"/>
  <c r="F27" i="41"/>
  <c r="G27" i="41" s="1"/>
  <c r="B27" i="41"/>
  <c r="B27" i="40"/>
  <c r="F27" i="40"/>
  <c r="G27" i="40" s="1"/>
  <c r="F29" i="39"/>
  <c r="H29" i="39" s="1"/>
  <c r="B29" i="39"/>
  <c r="H109" i="41" l="1"/>
  <c r="E110" i="41"/>
  <c r="G109" i="41"/>
  <c r="I109" i="41" s="1"/>
  <c r="D110" i="41"/>
  <c r="J110" i="40"/>
  <c r="B111" i="40"/>
  <c r="F111" i="40"/>
  <c r="H111" i="40" s="1"/>
  <c r="H27" i="40"/>
  <c r="I27" i="40" s="1"/>
  <c r="H27" i="41"/>
  <c r="I27" i="41" s="1"/>
  <c r="D28" i="41"/>
  <c r="E28" i="41"/>
  <c r="D28" i="40"/>
  <c r="E28" i="40"/>
  <c r="G29" i="39"/>
  <c r="I29" i="39" s="1"/>
  <c r="D30" i="39"/>
  <c r="E30" i="39"/>
  <c r="J109" i="41" l="1"/>
  <c r="B110" i="41"/>
  <c r="F110" i="41"/>
  <c r="G111" i="40"/>
  <c r="I111" i="40" s="1"/>
  <c r="J111" i="40" s="1"/>
  <c r="D112" i="40"/>
  <c r="E112" i="40"/>
  <c r="F28" i="41"/>
  <c r="G28" i="41" s="1"/>
  <c r="B28" i="41"/>
  <c r="F28" i="40"/>
  <c r="H28" i="40" s="1"/>
  <c r="B28" i="40"/>
  <c r="F30" i="39"/>
  <c r="H30" i="39" s="1"/>
  <c r="B30" i="39"/>
  <c r="G110" i="41" l="1"/>
  <c r="I110" i="41" s="1"/>
  <c r="E111" i="41"/>
  <c r="D111" i="41"/>
  <c r="H110" i="41"/>
  <c r="B112" i="40"/>
  <c r="F112" i="40"/>
  <c r="H112" i="40" s="1"/>
  <c r="H28" i="41"/>
  <c r="I28" i="41" s="1"/>
  <c r="D29" i="41"/>
  <c r="E29" i="41"/>
  <c r="G28" i="40"/>
  <c r="I28" i="40" s="1"/>
  <c r="D29" i="40"/>
  <c r="E29" i="40"/>
  <c r="G30" i="39"/>
  <c r="I30" i="39" s="1"/>
  <c r="D31" i="39"/>
  <c r="E31" i="39"/>
  <c r="B111" i="41" l="1"/>
  <c r="F111" i="41"/>
  <c r="H111" i="41" s="1"/>
  <c r="J110" i="41"/>
  <c r="D113" i="40"/>
  <c r="B113" i="40" s="1"/>
  <c r="E113" i="40"/>
  <c r="G112" i="40"/>
  <c r="I112" i="40" s="1"/>
  <c r="J112" i="40" s="1"/>
  <c r="F29" i="41"/>
  <c r="H29" i="41" s="1"/>
  <c r="B29" i="41"/>
  <c r="F29" i="40"/>
  <c r="H29" i="40" s="1"/>
  <c r="B29" i="40"/>
  <c r="B31" i="39"/>
  <c r="F31" i="39"/>
  <c r="G31" i="39" s="1"/>
  <c r="G29" i="41" l="1"/>
  <c r="I29" i="41" s="1"/>
  <c r="E112" i="41"/>
  <c r="G111" i="41"/>
  <c r="I111" i="41" s="1"/>
  <c r="J111" i="41" s="1"/>
  <c r="D112" i="41"/>
  <c r="F113" i="40"/>
  <c r="G113" i="40" s="1"/>
  <c r="I113" i="40" s="1"/>
  <c r="D30" i="41"/>
  <c r="E30" i="41"/>
  <c r="G29" i="40"/>
  <c r="I29" i="40" s="1"/>
  <c r="D30" i="40"/>
  <c r="E30" i="40"/>
  <c r="H31" i="39"/>
  <c r="I31" i="39" s="1"/>
  <c r="D32" i="39"/>
  <c r="E32" i="39"/>
  <c r="E114" i="40" l="1"/>
  <c r="H113" i="40"/>
  <c r="J113" i="40" s="1"/>
  <c r="B112" i="41"/>
  <c r="F112" i="41"/>
  <c r="H112" i="41" s="1"/>
  <c r="D114" i="40"/>
  <c r="B114" i="40" s="1"/>
  <c r="F30" i="41"/>
  <c r="H30" i="41" s="1"/>
  <c r="B30" i="41"/>
  <c r="F30" i="40"/>
  <c r="H30" i="40" s="1"/>
  <c r="B30" i="40"/>
  <c r="F32" i="39"/>
  <c r="G32" i="39" s="1"/>
  <c r="B32" i="39"/>
  <c r="F114" i="40" l="1"/>
  <c r="G112" i="41"/>
  <c r="I112" i="41" s="1"/>
  <c r="J112" i="41" s="1"/>
  <c r="D113" i="41"/>
  <c r="E113" i="41"/>
  <c r="H114" i="40"/>
  <c r="D115" i="40"/>
  <c r="G114" i="40"/>
  <c r="I114" i="40" s="1"/>
  <c r="E115" i="40"/>
  <c r="G30" i="40"/>
  <c r="I30" i="40" s="1"/>
  <c r="G30" i="41"/>
  <c r="I30" i="41" s="1"/>
  <c r="D31" i="41"/>
  <c r="E31" i="41"/>
  <c r="D31" i="40"/>
  <c r="E31" i="40"/>
  <c r="H32" i="39"/>
  <c r="I32" i="39" s="1"/>
  <c r="D33" i="39"/>
  <c r="E33" i="39"/>
  <c r="J114" i="40" l="1"/>
  <c r="B113" i="41"/>
  <c r="F113" i="41"/>
  <c r="F115" i="40"/>
  <c r="H115" i="40" s="1"/>
  <c r="B115" i="40"/>
  <c r="F31" i="41"/>
  <c r="H31" i="41" s="1"/>
  <c r="B31" i="41"/>
  <c r="B31" i="40"/>
  <c r="F31" i="40"/>
  <c r="H31" i="40" s="1"/>
  <c r="F33" i="39"/>
  <c r="G33" i="39" s="1"/>
  <c r="B33" i="39"/>
  <c r="H113" i="41" l="1"/>
  <c r="D114" i="41"/>
  <c r="E114" i="41"/>
  <c r="G113" i="41"/>
  <c r="I113" i="41" s="1"/>
  <c r="D116" i="40"/>
  <c r="G115" i="40"/>
  <c r="I115" i="40" s="1"/>
  <c r="J115" i="40" s="1"/>
  <c r="E116" i="40"/>
  <c r="G31" i="41"/>
  <c r="I31" i="41" s="1"/>
  <c r="D32" i="41"/>
  <c r="E32" i="41"/>
  <c r="G31" i="40"/>
  <c r="I31" i="40" s="1"/>
  <c r="D32" i="40"/>
  <c r="E32" i="40"/>
  <c r="H33" i="39"/>
  <c r="I33" i="39" s="1"/>
  <c r="D34" i="39"/>
  <c r="E34" i="39"/>
  <c r="J113" i="41" l="1"/>
  <c r="B114" i="41"/>
  <c r="F114" i="41"/>
  <c r="H114" i="41" s="1"/>
  <c r="B116" i="40"/>
  <c r="F116" i="40"/>
  <c r="B32" i="41"/>
  <c r="F32" i="41"/>
  <c r="G32" i="41" s="1"/>
  <c r="F32" i="40"/>
  <c r="G32" i="40" s="1"/>
  <c r="B32" i="40"/>
  <c r="B34" i="39"/>
  <c r="F34" i="39"/>
  <c r="G34" i="39" s="1"/>
  <c r="G114" i="41" l="1"/>
  <c r="I114" i="41" s="1"/>
  <c r="J114" i="41" s="1"/>
  <c r="E115" i="41"/>
  <c r="D115" i="41"/>
  <c r="G116" i="40"/>
  <c r="I116" i="40" s="1"/>
  <c r="D117" i="40"/>
  <c r="E117" i="40"/>
  <c r="H116" i="40"/>
  <c r="H32" i="41"/>
  <c r="I32" i="41" s="1"/>
  <c r="D33" i="41"/>
  <c r="E33" i="41"/>
  <c r="H32" i="40"/>
  <c r="I32" i="40" s="1"/>
  <c r="D33" i="40"/>
  <c r="E33" i="40"/>
  <c r="H34" i="39"/>
  <c r="I34" i="39" s="1"/>
  <c r="D35" i="39"/>
  <c r="E35" i="39"/>
  <c r="B115" i="41" l="1"/>
  <c r="F115" i="41"/>
  <c r="H115" i="41" s="1"/>
  <c r="B117" i="40"/>
  <c r="F117" i="40"/>
  <c r="H117" i="40" s="1"/>
  <c r="J116" i="40"/>
  <c r="F33" i="41"/>
  <c r="H33" i="41" s="1"/>
  <c r="B33" i="41"/>
  <c r="F33" i="40"/>
  <c r="G33" i="40" s="1"/>
  <c r="B33" i="40"/>
  <c r="B35" i="39"/>
  <c r="F35" i="39"/>
  <c r="H35" i="39" s="1"/>
  <c r="D116" i="41" l="1"/>
  <c r="G115" i="41"/>
  <c r="I115" i="41" s="1"/>
  <c r="J115" i="41" s="1"/>
  <c r="E116" i="41"/>
  <c r="G117" i="40"/>
  <c r="I117" i="40" s="1"/>
  <c r="J117" i="40" s="1"/>
  <c r="D118" i="40"/>
  <c r="E118" i="40"/>
  <c r="G33" i="41"/>
  <c r="I33" i="41" s="1"/>
  <c r="G35" i="39"/>
  <c r="I35" i="39" s="1"/>
  <c r="D34" i="41"/>
  <c r="E34" i="41"/>
  <c r="H33" i="40"/>
  <c r="I33" i="40" s="1"/>
  <c r="D34" i="40"/>
  <c r="E34" i="40"/>
  <c r="D36" i="39"/>
  <c r="E36" i="39"/>
  <c r="B116" i="41" l="1"/>
  <c r="F116" i="41"/>
  <c r="H116" i="41" s="1"/>
  <c r="B118" i="40"/>
  <c r="F118" i="40"/>
  <c r="H118" i="40" s="1"/>
  <c r="F34" i="41"/>
  <c r="H34" i="41" s="1"/>
  <c r="B34" i="41"/>
  <c r="B34" i="40"/>
  <c r="F34" i="40"/>
  <c r="H34" i="40" s="1"/>
  <c r="F36" i="39"/>
  <c r="G36" i="39" s="1"/>
  <c r="B36" i="39"/>
  <c r="G116" i="41" l="1"/>
  <c r="I116" i="41" s="1"/>
  <c r="J116" i="41" s="1"/>
  <c r="D117" i="41"/>
  <c r="E117" i="41"/>
  <c r="D119" i="40"/>
  <c r="G118" i="40"/>
  <c r="I118" i="40" s="1"/>
  <c r="J118" i="40" s="1"/>
  <c r="E119" i="40"/>
  <c r="G34" i="40"/>
  <c r="I34" i="40" s="1"/>
  <c r="G34" i="41"/>
  <c r="I34" i="41" s="1"/>
  <c r="D35" i="41"/>
  <c r="E35" i="41"/>
  <c r="D35" i="40"/>
  <c r="E35" i="40"/>
  <c r="H36" i="39"/>
  <c r="I36" i="39" s="1"/>
  <c r="D37" i="39"/>
  <c r="E37" i="39"/>
  <c r="B117" i="41" l="1"/>
  <c r="F117" i="41"/>
  <c r="H117" i="41" s="1"/>
  <c r="F119" i="40"/>
  <c r="B119" i="40"/>
  <c r="F35" i="41"/>
  <c r="G35" i="41" s="1"/>
  <c r="B35" i="41"/>
  <c r="F35" i="40"/>
  <c r="H35" i="40" s="1"/>
  <c r="B35" i="40"/>
  <c r="B37" i="39"/>
  <c r="F37" i="39"/>
  <c r="H37" i="39" s="1"/>
  <c r="E118" i="41" l="1"/>
  <c r="D118" i="41"/>
  <c r="G117" i="41"/>
  <c r="I117" i="41" s="1"/>
  <c r="J117" i="41" s="1"/>
  <c r="H119" i="40"/>
  <c r="G119" i="40"/>
  <c r="I119" i="40" s="1"/>
  <c r="D120" i="40"/>
  <c r="E120" i="40"/>
  <c r="G35" i="40"/>
  <c r="I35" i="40" s="1"/>
  <c r="H35" i="41"/>
  <c r="I35" i="41" s="1"/>
  <c r="D36" i="41"/>
  <c r="E36" i="41"/>
  <c r="D36" i="40"/>
  <c r="E36" i="40"/>
  <c r="G37" i="39"/>
  <c r="I37" i="39" s="1"/>
  <c r="D38" i="39"/>
  <c r="E38" i="39"/>
  <c r="B118" i="41" l="1"/>
  <c r="F118" i="41"/>
  <c r="B120" i="40"/>
  <c r="F120" i="40"/>
  <c r="H120" i="40" s="1"/>
  <c r="J119" i="40"/>
  <c r="F36" i="41"/>
  <c r="H36" i="41" s="1"/>
  <c r="B36" i="41"/>
  <c r="F36" i="40"/>
  <c r="B36" i="40"/>
  <c r="B38" i="39"/>
  <c r="F38" i="39"/>
  <c r="H38" i="39" s="1"/>
  <c r="G118" i="41" l="1"/>
  <c r="I118" i="41" s="1"/>
  <c r="E119" i="41"/>
  <c r="D119" i="41"/>
  <c r="H118" i="41"/>
  <c r="D121" i="40"/>
  <c r="E121" i="40" s="1"/>
  <c r="F121" i="40" s="1"/>
  <c r="G120" i="40"/>
  <c r="I120" i="40" s="1"/>
  <c r="J120" i="40" s="1"/>
  <c r="D37" i="41"/>
  <c r="E37" i="41"/>
  <c r="G36" i="41"/>
  <c r="I36" i="41" s="1"/>
  <c r="G36" i="40"/>
  <c r="D37" i="40"/>
  <c r="E37" i="40"/>
  <c r="H36" i="40"/>
  <c r="G38" i="39"/>
  <c r="I38" i="39" s="1"/>
  <c r="D39" i="39"/>
  <c r="E39" i="39"/>
  <c r="F119" i="41" l="1"/>
  <c r="H119" i="41" s="1"/>
  <c r="B119" i="41"/>
  <c r="J118" i="41"/>
  <c r="D122" i="40"/>
  <c r="E122" i="40" s="1"/>
  <c r="F122" i="40" s="1"/>
  <c r="G121" i="40"/>
  <c r="I121" i="40" s="1"/>
  <c r="B121" i="40"/>
  <c r="H121" i="40"/>
  <c r="B37" i="41"/>
  <c r="F37" i="41"/>
  <c r="H37" i="41" s="1"/>
  <c r="I36" i="40"/>
  <c r="F37" i="40"/>
  <c r="G37" i="40" s="1"/>
  <c r="B37" i="40"/>
  <c r="F39" i="39"/>
  <c r="H39" i="39" s="1"/>
  <c r="B39" i="39"/>
  <c r="E120" i="41" l="1"/>
  <c r="G119" i="41"/>
  <c r="I119" i="41" s="1"/>
  <c r="J119" i="41" s="1"/>
  <c r="D120" i="41"/>
  <c r="D123" i="40"/>
  <c r="B123" i="40" s="1"/>
  <c r="G122" i="40"/>
  <c r="I122" i="40" s="1"/>
  <c r="J121" i="40"/>
  <c r="B122" i="40"/>
  <c r="H122" i="40"/>
  <c r="G37" i="41"/>
  <c r="I37" i="41" s="1"/>
  <c r="D38" i="41"/>
  <c r="E38" i="41"/>
  <c r="H37" i="40"/>
  <c r="I37" i="40" s="1"/>
  <c r="D38" i="40"/>
  <c r="E38" i="40"/>
  <c r="G39" i="39"/>
  <c r="I39" i="39" s="1"/>
  <c r="D40" i="39"/>
  <c r="E40" i="39"/>
  <c r="E123" i="40" l="1"/>
  <c r="F123" i="40" s="1"/>
  <c r="H123" i="40" s="1"/>
  <c r="B120" i="41"/>
  <c r="F120" i="41"/>
  <c r="J122" i="40"/>
  <c r="B38" i="41"/>
  <c r="F38" i="41"/>
  <c r="G38" i="41" s="1"/>
  <c r="B38" i="40"/>
  <c r="F38" i="40"/>
  <c r="H38" i="40" s="1"/>
  <c r="B40" i="39"/>
  <c r="F40" i="39"/>
  <c r="G40" i="39" s="1"/>
  <c r="D124" i="40" l="1"/>
  <c r="B124" i="40" s="1"/>
  <c r="G123" i="40"/>
  <c r="I123" i="40" s="1"/>
  <c r="J123" i="40" s="1"/>
  <c r="D121" i="41"/>
  <c r="E121" i="41" s="1"/>
  <c r="F121" i="41" s="1"/>
  <c r="G120" i="41"/>
  <c r="I120" i="41" s="1"/>
  <c r="H120" i="41"/>
  <c r="G38" i="40"/>
  <c r="I38" i="40" s="1"/>
  <c r="H38" i="41"/>
  <c r="I38" i="41" s="1"/>
  <c r="D39" i="41"/>
  <c r="E39" i="41"/>
  <c r="D39" i="40"/>
  <c r="E39" i="40"/>
  <c r="H40" i="39"/>
  <c r="I40" i="39" s="1"/>
  <c r="D41" i="39"/>
  <c r="E41" i="39"/>
  <c r="E124" i="40" l="1"/>
  <c r="F124" i="40" s="1"/>
  <c r="G124" i="40" s="1"/>
  <c r="I124" i="40" s="1"/>
  <c r="D122" i="41"/>
  <c r="G121" i="41"/>
  <c r="I121" i="41" s="1"/>
  <c r="J120" i="41"/>
  <c r="B121" i="41"/>
  <c r="H121" i="41"/>
  <c r="F39" i="41"/>
  <c r="B39" i="41"/>
  <c r="B39" i="40"/>
  <c r="F39" i="40"/>
  <c r="H39" i="40" s="1"/>
  <c r="B41" i="39"/>
  <c r="F41" i="39"/>
  <c r="G41" i="39" s="1"/>
  <c r="D125" i="40" l="1"/>
  <c r="E125" i="40" s="1"/>
  <c r="F125" i="40" s="1"/>
  <c r="G125" i="40" s="1"/>
  <c r="I125" i="40" s="1"/>
  <c r="H124" i="40"/>
  <c r="J124" i="40" s="1"/>
  <c r="J121" i="41"/>
  <c r="B122" i="41"/>
  <c r="E122" i="41"/>
  <c r="F122" i="41" s="1"/>
  <c r="H39" i="41"/>
  <c r="D40" i="41"/>
  <c r="E40" i="41"/>
  <c r="G39" i="41"/>
  <c r="G39" i="40"/>
  <c r="I39" i="40" s="1"/>
  <c r="D40" i="40"/>
  <c r="E40" i="40"/>
  <c r="H41" i="39"/>
  <c r="I41" i="39" s="1"/>
  <c r="D42" i="39"/>
  <c r="E42" i="39"/>
  <c r="H125" i="40" l="1"/>
  <c r="J125" i="40" s="1"/>
  <c r="B125" i="40"/>
  <c r="D126" i="40"/>
  <c r="G122" i="41"/>
  <c r="I122" i="41" s="1"/>
  <c r="D123" i="41"/>
  <c r="E123" i="41" s="1"/>
  <c r="F123" i="41" s="1"/>
  <c r="H122" i="41"/>
  <c r="B40" i="41"/>
  <c r="F40" i="41"/>
  <c r="H40" i="41" s="1"/>
  <c r="I39" i="41"/>
  <c r="B40" i="40"/>
  <c r="F40" i="40"/>
  <c r="G40" i="40" s="1"/>
  <c r="B42" i="39"/>
  <c r="F42" i="39"/>
  <c r="H42" i="39" s="1"/>
  <c r="E126" i="40" l="1"/>
  <c r="F126" i="40" s="1"/>
  <c r="B126" i="40"/>
  <c r="B123" i="41"/>
  <c r="H123" i="41"/>
  <c r="G123" i="41"/>
  <c r="I123" i="41" s="1"/>
  <c r="D124" i="41"/>
  <c r="B124" i="41" s="1"/>
  <c r="J122" i="41"/>
  <c r="G40" i="41"/>
  <c r="I40" i="41" s="1"/>
  <c r="D41" i="41"/>
  <c r="E41" i="41"/>
  <c r="H40" i="40"/>
  <c r="I40" i="40" s="1"/>
  <c r="D41" i="40"/>
  <c r="E41" i="40"/>
  <c r="G42" i="39"/>
  <c r="I42" i="39" s="1"/>
  <c r="D43" i="39"/>
  <c r="E43" i="39"/>
  <c r="G126" i="40" l="1"/>
  <c r="I126" i="40" s="1"/>
  <c r="D127" i="40"/>
  <c r="H126" i="40"/>
  <c r="E124" i="41"/>
  <c r="F124" i="41" s="1"/>
  <c r="H124" i="41" s="1"/>
  <c r="J123" i="41"/>
  <c r="F41" i="41"/>
  <c r="H41" i="41" s="1"/>
  <c r="B41" i="41"/>
  <c r="F41" i="40"/>
  <c r="G41" i="40" s="1"/>
  <c r="B41" i="40"/>
  <c r="F43" i="39"/>
  <c r="H43" i="39" s="1"/>
  <c r="B43" i="39"/>
  <c r="J126" i="40" l="1"/>
  <c r="B127" i="40"/>
  <c r="E127" i="40"/>
  <c r="F127" i="40" s="1"/>
  <c r="D125" i="41"/>
  <c r="E125" i="41" s="1"/>
  <c r="F125" i="41" s="1"/>
  <c r="D126" i="41" s="1"/>
  <c r="E126" i="41" s="1"/>
  <c r="F126" i="41" s="1"/>
  <c r="G124" i="41"/>
  <c r="I124" i="41" s="1"/>
  <c r="J124" i="41" s="1"/>
  <c r="G41" i="41"/>
  <c r="I41" i="41" s="1"/>
  <c r="D42" i="41"/>
  <c r="E42" i="41"/>
  <c r="H41" i="40"/>
  <c r="I41" i="40" s="1"/>
  <c r="D42" i="40"/>
  <c r="E42" i="40"/>
  <c r="G43" i="39"/>
  <c r="I43" i="39" s="1"/>
  <c r="D44" i="39"/>
  <c r="E44" i="39"/>
  <c r="D128" i="40" l="1"/>
  <c r="B128" i="40" s="1"/>
  <c r="G127" i="40"/>
  <c r="I127" i="40" s="1"/>
  <c r="H127" i="40"/>
  <c r="E128" i="40"/>
  <c r="F128" i="40" s="1"/>
  <c r="B125" i="41"/>
  <c r="G125" i="41"/>
  <c r="I125" i="41" s="1"/>
  <c r="H125" i="41"/>
  <c r="D127" i="41"/>
  <c r="E127" i="41" s="1"/>
  <c r="F127" i="41" s="1"/>
  <c r="G126" i="41"/>
  <c r="I126" i="41" s="1"/>
  <c r="B126" i="41"/>
  <c r="H126" i="41"/>
  <c r="B42" i="41"/>
  <c r="F42" i="41"/>
  <c r="H42" i="41" s="1"/>
  <c r="F42" i="40"/>
  <c r="H42" i="40" s="1"/>
  <c r="B42" i="40"/>
  <c r="F44" i="39"/>
  <c r="H44" i="39" s="1"/>
  <c r="B44" i="39"/>
  <c r="J127" i="40" l="1"/>
  <c r="H128" i="40"/>
  <c r="G128" i="40"/>
  <c r="I128" i="40" s="1"/>
  <c r="D129" i="40"/>
  <c r="J125" i="41"/>
  <c r="D128" i="41"/>
  <c r="E128" i="41" s="1"/>
  <c r="F128" i="41" s="1"/>
  <c r="G127" i="41"/>
  <c r="I127" i="41" s="1"/>
  <c r="J126" i="41"/>
  <c r="B127" i="41"/>
  <c r="H127" i="41"/>
  <c r="G42" i="40"/>
  <c r="I42" i="40" s="1"/>
  <c r="G42" i="41"/>
  <c r="I42" i="41" s="1"/>
  <c r="D43" i="41"/>
  <c r="E43" i="41"/>
  <c r="D43" i="40"/>
  <c r="E43" i="40"/>
  <c r="G44" i="39"/>
  <c r="I44" i="39" s="1"/>
  <c r="D45" i="39"/>
  <c r="E45" i="39"/>
  <c r="J128" i="40" l="1"/>
  <c r="E129" i="40"/>
  <c r="F129" i="40" s="1"/>
  <c r="B129" i="40"/>
  <c r="J127" i="41"/>
  <c r="G128" i="41"/>
  <c r="I128" i="41" s="1"/>
  <c r="D129" i="41"/>
  <c r="B129" i="41" s="1"/>
  <c r="B128" i="41"/>
  <c r="H128" i="41"/>
  <c r="B43" i="41"/>
  <c r="F43" i="41"/>
  <c r="G43" i="41" s="1"/>
  <c r="F43" i="40"/>
  <c r="G43" i="40" s="1"/>
  <c r="B43" i="40"/>
  <c r="F45" i="39"/>
  <c r="G45" i="39" s="1"/>
  <c r="B45" i="39"/>
  <c r="H129" i="40" l="1"/>
  <c r="D130" i="40"/>
  <c r="G129" i="40"/>
  <c r="I129" i="40" s="1"/>
  <c r="E129" i="41"/>
  <c r="F129" i="41" s="1"/>
  <c r="H129" i="41" s="1"/>
  <c r="J128" i="41"/>
  <c r="H43" i="41"/>
  <c r="I43" i="41" s="1"/>
  <c r="D44" i="41"/>
  <c r="E44" i="41"/>
  <c r="H43" i="40"/>
  <c r="I43" i="40" s="1"/>
  <c r="D44" i="40"/>
  <c r="E44" i="40"/>
  <c r="H45" i="39"/>
  <c r="I45" i="39" s="1"/>
  <c r="D46" i="39"/>
  <c r="E46" i="39"/>
  <c r="J129" i="40" l="1"/>
  <c r="D130" i="41"/>
  <c r="B130" i="41" s="1"/>
  <c r="B130" i="40"/>
  <c r="E130" i="40"/>
  <c r="F130" i="40" s="1"/>
  <c r="H130" i="40" s="1"/>
  <c r="G129" i="41"/>
  <c r="I129" i="41" s="1"/>
  <c r="J129" i="41" s="1"/>
  <c r="B44" i="41"/>
  <c r="F44" i="41"/>
  <c r="G44" i="41" s="1"/>
  <c r="F44" i="40"/>
  <c r="H44" i="40" s="1"/>
  <c r="B44" i="40"/>
  <c r="F46" i="39"/>
  <c r="H46" i="39" s="1"/>
  <c r="B46" i="39"/>
  <c r="E130" i="41" l="1"/>
  <c r="F130" i="41" s="1"/>
  <c r="H130" i="41" s="1"/>
  <c r="D131" i="40"/>
  <c r="G130" i="40"/>
  <c r="I130" i="40" s="1"/>
  <c r="J130" i="40" s="1"/>
  <c r="D131" i="41"/>
  <c r="B131" i="41" s="1"/>
  <c r="G130" i="41"/>
  <c r="I130" i="41" s="1"/>
  <c r="J130" i="41" s="1"/>
  <c r="H44" i="41"/>
  <c r="I44" i="41" s="1"/>
  <c r="D45" i="41"/>
  <c r="E45" i="41"/>
  <c r="G44" i="40"/>
  <c r="I44" i="40" s="1"/>
  <c r="D45" i="40"/>
  <c r="E45" i="40"/>
  <c r="G46" i="39"/>
  <c r="I46" i="39" s="1"/>
  <c r="D47" i="39"/>
  <c r="E47" i="39" s="1"/>
  <c r="E131" i="40" l="1"/>
  <c r="F131" i="40" s="1"/>
  <c r="H131" i="40" s="1"/>
  <c r="B131" i="40"/>
  <c r="E131" i="41"/>
  <c r="F131" i="41" s="1"/>
  <c r="G131" i="41" s="1"/>
  <c r="I131" i="41" s="1"/>
  <c r="F45" i="41"/>
  <c r="H45" i="41" s="1"/>
  <c r="B45" i="41"/>
  <c r="F45" i="40"/>
  <c r="G45" i="40" s="1"/>
  <c r="B45" i="40"/>
  <c r="F47" i="39"/>
  <c r="G47" i="39" s="1"/>
  <c r="B47" i="39"/>
  <c r="H131" i="41" l="1"/>
  <c r="G131" i="40"/>
  <c r="I131" i="40" s="1"/>
  <c r="J131" i="40" s="1"/>
  <c r="J156" i="40" s="1"/>
  <c r="D132" i="40"/>
  <c r="E132" i="40" s="1"/>
  <c r="F132" i="40" s="1"/>
  <c r="J131" i="41"/>
  <c r="J156" i="41" s="1"/>
  <c r="D132" i="41"/>
  <c r="E132" i="41" s="1"/>
  <c r="F132" i="41" s="1"/>
  <c r="D133" i="41" s="1"/>
  <c r="G45" i="41"/>
  <c r="I45" i="41" s="1"/>
  <c r="D46" i="41"/>
  <c r="E46" i="41"/>
  <c r="H45" i="40"/>
  <c r="I45" i="40" s="1"/>
  <c r="D46" i="40"/>
  <c r="E46" i="40"/>
  <c r="H47" i="39"/>
  <c r="I47" i="39" s="1"/>
  <c r="D48" i="39"/>
  <c r="E48" i="39" s="1"/>
  <c r="G132" i="40" l="1"/>
  <c r="I132" i="40" s="1"/>
  <c r="D133" i="40"/>
  <c r="B132" i="40"/>
  <c r="H132" i="40"/>
  <c r="G132" i="41"/>
  <c r="I132" i="41" s="1"/>
  <c r="H132" i="41"/>
  <c r="B132" i="41"/>
  <c r="E133" i="41"/>
  <c r="F133" i="41" s="1"/>
  <c r="H133" i="41" s="1"/>
  <c r="B133" i="41"/>
  <c r="B46" i="41"/>
  <c r="F46" i="41"/>
  <c r="B46" i="40"/>
  <c r="F46" i="40"/>
  <c r="H46" i="40" s="1"/>
  <c r="F48" i="39"/>
  <c r="H48" i="39" s="1"/>
  <c r="B48" i="39"/>
  <c r="E133" i="40" l="1"/>
  <c r="F133" i="40" s="1"/>
  <c r="H133" i="40" s="1"/>
  <c r="B133" i="40"/>
  <c r="G133" i="41"/>
  <c r="I133" i="41" s="1"/>
  <c r="D134" i="41"/>
  <c r="H46" i="41"/>
  <c r="D47" i="41"/>
  <c r="E47" i="41"/>
  <c r="G46" i="41"/>
  <c r="G46" i="40"/>
  <c r="I46" i="40" s="1"/>
  <c r="D47" i="40"/>
  <c r="E47" i="40"/>
  <c r="G48" i="39"/>
  <c r="I48" i="39" s="1"/>
  <c r="D49" i="39"/>
  <c r="E49" i="39" s="1"/>
  <c r="D134" i="40" l="1"/>
  <c r="B134" i="40" s="1"/>
  <c r="G133" i="40"/>
  <c r="I133" i="40" s="1"/>
  <c r="E134" i="41"/>
  <c r="F134" i="41" s="1"/>
  <c r="H134" i="41" s="1"/>
  <c r="B134" i="41"/>
  <c r="I46" i="41"/>
  <c r="F47" i="41"/>
  <c r="G47" i="41" s="1"/>
  <c r="B47" i="41"/>
  <c r="B47" i="40"/>
  <c r="F47" i="40"/>
  <c r="H47" i="40" s="1"/>
  <c r="B49" i="39"/>
  <c r="F49" i="39"/>
  <c r="H49" i="39" s="1"/>
  <c r="E134" i="40" l="1"/>
  <c r="F134" i="40" s="1"/>
  <c r="H134" i="40" s="1"/>
  <c r="G134" i="41"/>
  <c r="I134" i="41" s="1"/>
  <c r="D135" i="41"/>
  <c r="B135" i="41" s="1"/>
  <c r="H47" i="41"/>
  <c r="I47" i="41" s="1"/>
  <c r="D48" i="41"/>
  <c r="E48" i="41"/>
  <c r="G47" i="40"/>
  <c r="I47" i="40" s="1"/>
  <c r="D48" i="40"/>
  <c r="E48" i="40"/>
  <c r="G49" i="39"/>
  <c r="I49" i="39" s="1"/>
  <c r="D50" i="39"/>
  <c r="D135" i="40" l="1"/>
  <c r="E135" i="40" s="1"/>
  <c r="F135" i="40" s="1"/>
  <c r="H135" i="40" s="1"/>
  <c r="G134" i="40"/>
  <c r="I134" i="40" s="1"/>
  <c r="E135" i="41"/>
  <c r="F135" i="41" s="1"/>
  <c r="D136" i="41" s="1"/>
  <c r="E136" i="41" s="1"/>
  <c r="F136" i="41" s="1"/>
  <c r="F48" i="41"/>
  <c r="H48" i="41" s="1"/>
  <c r="B48" i="41"/>
  <c r="B48" i="40"/>
  <c r="F48" i="40"/>
  <c r="H48" i="40" s="1"/>
  <c r="E50" i="39"/>
  <c r="F50" i="39" s="1"/>
  <c r="G50" i="39" s="1"/>
  <c r="B50" i="39"/>
  <c r="B135" i="40" l="1"/>
  <c r="H135" i="41"/>
  <c r="D136" i="40"/>
  <c r="B136" i="40" s="1"/>
  <c r="G135" i="40"/>
  <c r="I135" i="40" s="1"/>
  <c r="G135" i="41"/>
  <c r="I135" i="41" s="1"/>
  <c r="D137" i="41"/>
  <c r="B137" i="41" s="1"/>
  <c r="G136" i="41"/>
  <c r="I136" i="41" s="1"/>
  <c r="B136" i="41"/>
  <c r="H136" i="41"/>
  <c r="G48" i="41"/>
  <c r="I48" i="41" s="1"/>
  <c r="D49" i="41"/>
  <c r="E49" i="41"/>
  <c r="G48" i="40"/>
  <c r="I48" i="40" s="1"/>
  <c r="D49" i="40"/>
  <c r="E49" i="40"/>
  <c r="H50" i="39"/>
  <c r="I50" i="39" s="1"/>
  <c r="D51" i="39"/>
  <c r="E136" i="40" l="1"/>
  <c r="F136" i="40" s="1"/>
  <c r="H136" i="40" s="1"/>
  <c r="E137" i="41"/>
  <c r="F137" i="41" s="1"/>
  <c r="G137" i="41" s="1"/>
  <c r="I137" i="41" s="1"/>
  <c r="B49" i="41"/>
  <c r="F49" i="41"/>
  <c r="G49" i="41" s="1"/>
  <c r="F49" i="40"/>
  <c r="G49" i="40" s="1"/>
  <c r="B49" i="40"/>
  <c r="E51" i="39"/>
  <c r="F51" i="39" s="1"/>
  <c r="D52" i="39" s="1"/>
  <c r="B51" i="39"/>
  <c r="D137" i="40" l="1"/>
  <c r="B137" i="40" s="1"/>
  <c r="G136" i="40"/>
  <c r="I136" i="40" s="1"/>
  <c r="D138" i="41"/>
  <c r="B138" i="41" s="1"/>
  <c r="H137" i="41"/>
  <c r="H49" i="41"/>
  <c r="I49" i="41" s="1"/>
  <c r="D50" i="41"/>
  <c r="G51" i="39"/>
  <c r="H49" i="40"/>
  <c r="I49" i="40" s="1"/>
  <c r="D50" i="40"/>
  <c r="E52" i="39"/>
  <c r="F52" i="39" s="1"/>
  <c r="B52" i="39"/>
  <c r="H51" i="39"/>
  <c r="E137" i="40" l="1"/>
  <c r="F137" i="40" s="1"/>
  <c r="H137" i="40" s="1"/>
  <c r="E138" i="41"/>
  <c r="F138" i="41" s="1"/>
  <c r="H138" i="41" s="1"/>
  <c r="E50" i="41"/>
  <c r="F50" i="41" s="1"/>
  <c r="G50" i="41" s="1"/>
  <c r="B50" i="41"/>
  <c r="I51" i="39"/>
  <c r="E50" i="40"/>
  <c r="F50" i="40" s="1"/>
  <c r="H50" i="40" s="1"/>
  <c r="B50" i="40"/>
  <c r="G52" i="39"/>
  <c r="D53" i="39"/>
  <c r="H52" i="39"/>
  <c r="G137" i="40" l="1"/>
  <c r="I137" i="40" s="1"/>
  <c r="D138" i="40"/>
  <c r="E138" i="40" s="1"/>
  <c r="F138" i="40" s="1"/>
  <c r="H138" i="40" s="1"/>
  <c r="D139" i="41"/>
  <c r="E139" i="41" s="1"/>
  <c r="F139" i="41" s="1"/>
  <c r="G138" i="41"/>
  <c r="I138" i="41" s="1"/>
  <c r="H50" i="41"/>
  <c r="I50" i="41" s="1"/>
  <c r="D51" i="41"/>
  <c r="I52" i="39"/>
  <c r="G50" i="40"/>
  <c r="I50" i="40" s="1"/>
  <c r="D51" i="40"/>
  <c r="E53" i="39"/>
  <c r="F53" i="39" s="1"/>
  <c r="H53" i="39" s="1"/>
  <c r="B53" i="39"/>
  <c r="B138" i="40" l="1"/>
  <c r="G138" i="40"/>
  <c r="I138" i="40" s="1"/>
  <c r="D139" i="40"/>
  <c r="E139" i="40" s="1"/>
  <c r="F139" i="40" s="1"/>
  <c r="G139" i="41"/>
  <c r="I139" i="41" s="1"/>
  <c r="D140" i="41"/>
  <c r="B139" i="41"/>
  <c r="H139" i="41"/>
  <c r="E51" i="41"/>
  <c r="F51" i="41" s="1"/>
  <c r="G51" i="41" s="1"/>
  <c r="B51" i="41"/>
  <c r="E51" i="40"/>
  <c r="F51" i="40" s="1"/>
  <c r="D52" i="40" s="1"/>
  <c r="B51" i="40"/>
  <c r="G53" i="39"/>
  <c r="I53" i="39" s="1"/>
  <c r="D54" i="39"/>
  <c r="D140" i="40" l="1"/>
  <c r="E140" i="40" s="1"/>
  <c r="F140" i="40" s="1"/>
  <c r="G139" i="40"/>
  <c r="I139" i="40" s="1"/>
  <c r="B139" i="40"/>
  <c r="H139" i="40"/>
  <c r="B140" i="41"/>
  <c r="E140" i="41"/>
  <c r="F140" i="41" s="1"/>
  <c r="H140" i="41" s="1"/>
  <c r="H51" i="41"/>
  <c r="I51" i="41" s="1"/>
  <c r="D52" i="41"/>
  <c r="G51" i="40"/>
  <c r="H51" i="40"/>
  <c r="E52" i="40"/>
  <c r="F52" i="40" s="1"/>
  <c r="H52" i="40" s="1"/>
  <c r="B52" i="40"/>
  <c r="E54" i="39"/>
  <c r="F54" i="39" s="1"/>
  <c r="G54" i="39" s="1"/>
  <c r="B54" i="39"/>
  <c r="D141" i="40" l="1"/>
  <c r="B141" i="40" s="1"/>
  <c r="G140" i="40"/>
  <c r="I140" i="40" s="1"/>
  <c r="B140" i="40"/>
  <c r="H140" i="40"/>
  <c r="D141" i="41"/>
  <c r="E141" i="41" s="1"/>
  <c r="F141" i="41" s="1"/>
  <c r="G140" i="41"/>
  <c r="I140" i="41" s="1"/>
  <c r="E52" i="41"/>
  <c r="F52" i="41" s="1"/>
  <c r="B52" i="41"/>
  <c r="I51" i="40"/>
  <c r="G52" i="40"/>
  <c r="I52" i="40" s="1"/>
  <c r="D53" i="40"/>
  <c r="H54" i="39"/>
  <c r="I54" i="39" s="1"/>
  <c r="D55" i="39"/>
  <c r="E141" i="40" l="1"/>
  <c r="F141" i="40" s="1"/>
  <c r="H141" i="40" s="1"/>
  <c r="D142" i="41"/>
  <c r="E142" i="41" s="1"/>
  <c r="F142" i="41" s="1"/>
  <c r="G141" i="41"/>
  <c r="I141" i="41" s="1"/>
  <c r="H141" i="41"/>
  <c r="B141" i="41"/>
  <c r="D53" i="41"/>
  <c r="E53" i="41" s="1"/>
  <c r="G52" i="41"/>
  <c r="H52" i="41"/>
  <c r="E53" i="40"/>
  <c r="F53" i="40" s="1"/>
  <c r="G53" i="40" s="1"/>
  <c r="B53" i="40"/>
  <c r="E55" i="39"/>
  <c r="F55" i="39" s="1"/>
  <c r="H55" i="39" s="1"/>
  <c r="B55" i="39"/>
  <c r="G141" i="40" l="1"/>
  <c r="I141" i="40" s="1"/>
  <c r="D142" i="40"/>
  <c r="E142" i="40" s="1"/>
  <c r="F142" i="40" s="1"/>
  <c r="H142" i="40" s="1"/>
  <c r="B142" i="41"/>
  <c r="H142" i="41"/>
  <c r="G142" i="41"/>
  <c r="I142" i="41" s="1"/>
  <c r="D143" i="41"/>
  <c r="E143" i="41" s="1"/>
  <c r="F143" i="41" s="1"/>
  <c r="G143" i="41" s="1"/>
  <c r="I143" i="41" s="1"/>
  <c r="I52" i="41"/>
  <c r="F53" i="41"/>
  <c r="D54" i="41" s="1"/>
  <c r="B54" i="41" s="1"/>
  <c r="B53" i="41"/>
  <c r="H53" i="40"/>
  <c r="I53" i="40" s="1"/>
  <c r="D54" i="40"/>
  <c r="G55" i="39"/>
  <c r="I55" i="39" s="1"/>
  <c r="D56" i="39"/>
  <c r="E56" i="39" s="1"/>
  <c r="F56" i="39" s="1"/>
  <c r="B142" i="40" l="1"/>
  <c r="D143" i="40"/>
  <c r="G142" i="40"/>
  <c r="I142" i="40" s="1"/>
  <c r="D144" i="41"/>
  <c r="B144" i="41" s="1"/>
  <c r="B143" i="41"/>
  <c r="H143" i="41"/>
  <c r="E144" i="41"/>
  <c r="F144" i="41" s="1"/>
  <c r="E54" i="41"/>
  <c r="F54" i="41" s="1"/>
  <c r="G54" i="41" s="1"/>
  <c r="H53" i="41"/>
  <c r="G53" i="41"/>
  <c r="E54" i="40"/>
  <c r="F54" i="40" s="1"/>
  <c r="D55" i="40" s="1"/>
  <c r="B54" i="40"/>
  <c r="D57" i="39"/>
  <c r="E57" i="39" s="1"/>
  <c r="F57" i="39" s="1"/>
  <c r="B56" i="39"/>
  <c r="G56" i="39"/>
  <c r="H56" i="39"/>
  <c r="E143" i="40" l="1"/>
  <c r="F143" i="40" s="1"/>
  <c r="H143" i="40" s="1"/>
  <c r="B143" i="40"/>
  <c r="G144" i="41"/>
  <c r="I144" i="41" s="1"/>
  <c r="D145" i="41"/>
  <c r="B145" i="41" s="1"/>
  <c r="H144" i="41"/>
  <c r="D55" i="41"/>
  <c r="E55" i="41" s="1"/>
  <c r="F55" i="41" s="1"/>
  <c r="G55" i="41" s="1"/>
  <c r="I53" i="41"/>
  <c r="H54" i="41"/>
  <c r="I54" i="41" s="1"/>
  <c r="I56" i="39"/>
  <c r="G54" i="40"/>
  <c r="H54" i="40"/>
  <c r="E55" i="40"/>
  <c r="F55" i="40" s="1"/>
  <c r="B55" i="40"/>
  <c r="G57" i="39"/>
  <c r="D58" i="39"/>
  <c r="E58" i="39" s="1"/>
  <c r="F58" i="39" s="1"/>
  <c r="B57" i="39"/>
  <c r="H57" i="39"/>
  <c r="G143" i="40" l="1"/>
  <c r="I143" i="40" s="1"/>
  <c r="D144" i="40"/>
  <c r="E145" i="41"/>
  <c r="F145" i="41" s="1"/>
  <c r="H145" i="41" s="1"/>
  <c r="B55" i="41"/>
  <c r="I54" i="40"/>
  <c r="H55" i="41"/>
  <c r="I55" i="41" s="1"/>
  <c r="D56" i="41"/>
  <c r="D56" i="40"/>
  <c r="G55" i="40"/>
  <c r="H55" i="40"/>
  <c r="I57" i="39"/>
  <c r="H58" i="39"/>
  <c r="D59" i="39"/>
  <c r="E59" i="39" s="1"/>
  <c r="F59" i="39" s="1"/>
  <c r="B58" i="39"/>
  <c r="G58" i="39"/>
  <c r="E144" i="40" l="1"/>
  <c r="F144" i="40" s="1"/>
  <c r="H144" i="40" s="1"/>
  <c r="B144" i="40"/>
  <c r="G145" i="41"/>
  <c r="I145" i="41" s="1"/>
  <c r="D146" i="41"/>
  <c r="E146" i="41" s="1"/>
  <c r="F146" i="41" s="1"/>
  <c r="G146" i="41" s="1"/>
  <c r="I146" i="41" s="1"/>
  <c r="I55" i="40"/>
  <c r="E56" i="41"/>
  <c r="F56" i="41" s="1"/>
  <c r="D57" i="41" s="1"/>
  <c r="B56" i="41"/>
  <c r="B56" i="40"/>
  <c r="E56" i="40"/>
  <c r="F56" i="40" s="1"/>
  <c r="I58" i="39"/>
  <c r="G59" i="39"/>
  <c r="D60" i="39"/>
  <c r="E60" i="39" s="1"/>
  <c r="F60" i="39" s="1"/>
  <c r="B59" i="39"/>
  <c r="H59" i="39"/>
  <c r="D145" i="40" l="1"/>
  <c r="E145" i="40" s="1"/>
  <c r="F145" i="40" s="1"/>
  <c r="G144" i="40"/>
  <c r="I144" i="40" s="1"/>
  <c r="D147" i="41"/>
  <c r="E147" i="41" s="1"/>
  <c r="F147" i="41" s="1"/>
  <c r="G147" i="41" s="1"/>
  <c r="I147" i="41" s="1"/>
  <c r="H146" i="41"/>
  <c r="B146" i="41"/>
  <c r="H56" i="41"/>
  <c r="G56" i="41"/>
  <c r="E57" i="41"/>
  <c r="F57" i="41" s="1"/>
  <c r="D58" i="41" s="1"/>
  <c r="B57" i="41"/>
  <c r="H56" i="40"/>
  <c r="G56" i="40"/>
  <c r="D57" i="40"/>
  <c r="E57" i="40" s="1"/>
  <c r="I59" i="39"/>
  <c r="D61" i="39"/>
  <c r="E61" i="39" s="1"/>
  <c r="F61" i="39" s="1"/>
  <c r="B60" i="39"/>
  <c r="G60" i="39"/>
  <c r="H60" i="39"/>
  <c r="G145" i="40" l="1"/>
  <c r="I145" i="40" s="1"/>
  <c r="D146" i="40"/>
  <c r="B145" i="40"/>
  <c r="H145" i="40"/>
  <c r="H147" i="41"/>
  <c r="D148" i="41"/>
  <c r="E148" i="41" s="1"/>
  <c r="F148" i="41" s="1"/>
  <c r="H148" i="41" s="1"/>
  <c r="B147" i="41"/>
  <c r="I56" i="41"/>
  <c r="H57" i="41"/>
  <c r="G57" i="41"/>
  <c r="I56" i="40"/>
  <c r="E58" i="41"/>
  <c r="F58" i="41" s="1"/>
  <c r="G58" i="41" s="1"/>
  <c r="B58" i="41"/>
  <c r="F57" i="40"/>
  <c r="G57" i="40" s="1"/>
  <c r="B57" i="40"/>
  <c r="I60" i="39"/>
  <c r="G61" i="39"/>
  <c r="D62" i="39"/>
  <c r="B61" i="39"/>
  <c r="H61" i="39"/>
  <c r="E146" i="40" l="1"/>
  <c r="F146" i="40" s="1"/>
  <c r="H146" i="40" s="1"/>
  <c r="B146" i="40"/>
  <c r="B148" i="41"/>
  <c r="G148" i="41"/>
  <c r="I148" i="41" s="1"/>
  <c r="D149" i="41"/>
  <c r="E149" i="41" s="1"/>
  <c r="F149" i="41" s="1"/>
  <c r="I57" i="41"/>
  <c r="H57" i="40"/>
  <c r="I57" i="40" s="1"/>
  <c r="D58" i="40"/>
  <c r="B58" i="40" s="1"/>
  <c r="H58" i="41"/>
  <c r="I58" i="41" s="1"/>
  <c r="D59" i="41"/>
  <c r="I61" i="39"/>
  <c r="E62" i="39"/>
  <c r="F62" i="39" s="1"/>
  <c r="G62" i="39" s="1"/>
  <c r="B62" i="39"/>
  <c r="G146" i="40" l="1"/>
  <c r="I146" i="40" s="1"/>
  <c r="D147" i="40"/>
  <c r="G149" i="41"/>
  <c r="I149" i="41" s="1"/>
  <c r="D150" i="41"/>
  <c r="E150" i="41" s="1"/>
  <c r="F150" i="41" s="1"/>
  <c r="B149" i="41"/>
  <c r="H149" i="41"/>
  <c r="E58" i="40"/>
  <c r="F58" i="40" s="1"/>
  <c r="G58" i="40" s="1"/>
  <c r="E59" i="41"/>
  <c r="F59" i="41" s="1"/>
  <c r="G59" i="41" s="1"/>
  <c r="B59" i="41"/>
  <c r="H62" i="39"/>
  <c r="I62" i="39" s="1"/>
  <c r="D63" i="39"/>
  <c r="E63" i="39" s="1"/>
  <c r="F63" i="39" s="1"/>
  <c r="E147" i="40" l="1"/>
  <c r="F147" i="40" s="1"/>
  <c r="H147" i="40" s="1"/>
  <c r="B147" i="40"/>
  <c r="D151" i="41"/>
  <c r="E151" i="41" s="1"/>
  <c r="F151" i="41" s="1"/>
  <c r="G150" i="41"/>
  <c r="I150" i="41" s="1"/>
  <c r="H150" i="41"/>
  <c r="B150" i="41"/>
  <c r="D59" i="40"/>
  <c r="E59" i="40" s="1"/>
  <c r="F59" i="40" s="1"/>
  <c r="H59" i="40" s="1"/>
  <c r="H58" i="40"/>
  <c r="I58" i="40" s="1"/>
  <c r="H59" i="41"/>
  <c r="I59" i="41" s="1"/>
  <c r="D60" i="41"/>
  <c r="H63" i="39"/>
  <c r="D64" i="39"/>
  <c r="B63" i="39"/>
  <c r="G63" i="39"/>
  <c r="G147" i="40" l="1"/>
  <c r="I147" i="40" s="1"/>
  <c r="D148" i="40"/>
  <c r="D152" i="41"/>
  <c r="E152" i="41" s="1"/>
  <c r="F152" i="41" s="1"/>
  <c r="G151" i="41"/>
  <c r="I151" i="41" s="1"/>
  <c r="H151" i="41"/>
  <c r="B151" i="41"/>
  <c r="B59" i="40"/>
  <c r="E60" i="41"/>
  <c r="F60" i="41" s="1"/>
  <c r="D61" i="41" s="1"/>
  <c r="B60" i="41"/>
  <c r="I63" i="39"/>
  <c r="G59" i="40"/>
  <c r="I59" i="40" s="1"/>
  <c r="D60" i="40"/>
  <c r="E64" i="39"/>
  <c r="F64" i="39" s="1"/>
  <c r="D65" i="39" s="1"/>
  <c r="B64" i="39"/>
  <c r="E148" i="40" l="1"/>
  <c r="F148" i="40" s="1"/>
  <c r="H148" i="40" s="1"/>
  <c r="B148" i="40"/>
  <c r="G152" i="41"/>
  <c r="I152" i="41" s="1"/>
  <c r="D153" i="41"/>
  <c r="E153" i="41" s="1"/>
  <c r="F153" i="41" s="1"/>
  <c r="B152" i="41"/>
  <c r="H152" i="41"/>
  <c r="G64" i="39"/>
  <c r="H64" i="39"/>
  <c r="H60" i="41"/>
  <c r="G60" i="41"/>
  <c r="E61" i="41"/>
  <c r="F61" i="41" s="1"/>
  <c r="D62" i="41" s="1"/>
  <c r="B61" i="41"/>
  <c r="E60" i="40"/>
  <c r="F60" i="40" s="1"/>
  <c r="G60" i="40" s="1"/>
  <c r="B60" i="40"/>
  <c r="E65" i="39"/>
  <c r="F65" i="39" s="1"/>
  <c r="D66" i="39" s="1"/>
  <c r="B65" i="39"/>
  <c r="I64" i="39" l="1"/>
  <c r="D149" i="40"/>
  <c r="G148" i="40"/>
  <c r="I148" i="40" s="1"/>
  <c r="G153" i="41"/>
  <c r="I153" i="41" s="1"/>
  <c r="D154" i="41"/>
  <c r="E154" i="41" s="1"/>
  <c r="F154" i="41" s="1"/>
  <c r="H153" i="41"/>
  <c r="B153" i="41"/>
  <c r="I60" i="41"/>
  <c r="G61" i="41"/>
  <c r="H61" i="41"/>
  <c r="E62" i="41"/>
  <c r="F62" i="41" s="1"/>
  <c r="G62" i="41" s="1"/>
  <c r="B62" i="41"/>
  <c r="H65" i="39"/>
  <c r="H60" i="40"/>
  <c r="I60" i="40" s="1"/>
  <c r="D61" i="40"/>
  <c r="G65" i="39"/>
  <c r="E66" i="39"/>
  <c r="F66" i="39" s="1"/>
  <c r="H66" i="39" s="1"/>
  <c r="B66" i="39"/>
  <c r="E149" i="40" l="1"/>
  <c r="F149" i="40" s="1"/>
  <c r="H149" i="40" s="1"/>
  <c r="B149" i="40"/>
  <c r="G154" i="41"/>
  <c r="I154" i="41" s="1"/>
  <c r="D155" i="41"/>
  <c r="H154" i="41"/>
  <c r="B154" i="41"/>
  <c r="I65" i="39"/>
  <c r="I61" i="41"/>
  <c r="H62" i="41"/>
  <c r="I62" i="41" s="1"/>
  <c r="D63" i="41"/>
  <c r="E61" i="40"/>
  <c r="F61" i="40" s="1"/>
  <c r="G61" i="40" s="1"/>
  <c r="B61" i="40"/>
  <c r="G66" i="39"/>
  <c r="I66" i="39" s="1"/>
  <c r="D67" i="39"/>
  <c r="E67" i="39" s="1"/>
  <c r="F67" i="39" s="1"/>
  <c r="G149" i="40" l="1"/>
  <c r="I149" i="40" s="1"/>
  <c r="D150" i="40"/>
  <c r="E155" i="41"/>
  <c r="E156" i="41" s="1"/>
  <c r="B155" i="41"/>
  <c r="E63" i="41"/>
  <c r="F63" i="41" s="1"/>
  <c r="G63" i="41" s="1"/>
  <c r="B63" i="41"/>
  <c r="H61" i="40"/>
  <c r="I61" i="40" s="1"/>
  <c r="D62" i="40"/>
  <c r="D68" i="39"/>
  <c r="E68" i="39" s="1"/>
  <c r="F68" i="39" s="1"/>
  <c r="B67" i="39"/>
  <c r="H67" i="39"/>
  <c r="G67" i="39"/>
  <c r="F155" i="41" l="1"/>
  <c r="G155" i="41" s="1"/>
  <c r="I155" i="41" s="1"/>
  <c r="I156" i="41" s="1"/>
  <c r="E150" i="40"/>
  <c r="F150" i="40" s="1"/>
  <c r="H150" i="40" s="1"/>
  <c r="B150" i="40"/>
  <c r="H155" i="41"/>
  <c r="H156" i="41" s="1"/>
  <c r="H63" i="41"/>
  <c r="I63" i="41" s="1"/>
  <c r="D64" i="41"/>
  <c r="E62" i="40"/>
  <c r="F62" i="40" s="1"/>
  <c r="D63" i="40" s="1"/>
  <c r="B62" i="40"/>
  <c r="I67" i="39"/>
  <c r="D69" i="39"/>
  <c r="E69" i="39" s="1"/>
  <c r="F69" i="39" s="1"/>
  <c r="B68" i="39"/>
  <c r="H68" i="39"/>
  <c r="G68" i="39"/>
  <c r="D151" i="40" l="1"/>
  <c r="G150" i="40"/>
  <c r="I150" i="40" s="1"/>
  <c r="H62" i="40"/>
  <c r="G62" i="40"/>
  <c r="E64" i="41"/>
  <c r="F64" i="41" s="1"/>
  <c r="B64" i="41"/>
  <c r="E63" i="40"/>
  <c r="F63" i="40" s="1"/>
  <c r="B63" i="40"/>
  <c r="I68" i="39"/>
  <c r="H69" i="39"/>
  <c r="D70" i="39"/>
  <c r="B69" i="39"/>
  <c r="G69" i="39"/>
  <c r="E151" i="40" l="1"/>
  <c r="F151" i="40" s="1"/>
  <c r="H151" i="40" s="1"/>
  <c r="B151" i="40"/>
  <c r="I62" i="40"/>
  <c r="D65" i="41"/>
  <c r="B65" i="41" s="1"/>
  <c r="H64" i="41"/>
  <c r="G64" i="41"/>
  <c r="D64" i="40"/>
  <c r="E64" i="40" s="1"/>
  <c r="F64" i="40" s="1"/>
  <c r="H64" i="40" s="1"/>
  <c r="G63" i="40"/>
  <c r="H63" i="40"/>
  <c r="I69" i="39"/>
  <c r="B70" i="39"/>
  <c r="E70" i="39"/>
  <c r="F70" i="39" s="1"/>
  <c r="D71" i="39" s="1"/>
  <c r="G151" i="40" l="1"/>
  <c r="I151" i="40" s="1"/>
  <c r="D152" i="40"/>
  <c r="E65" i="41"/>
  <c r="F65" i="41" s="1"/>
  <c r="D66" i="41" s="1"/>
  <c r="B66" i="41" s="1"/>
  <c r="I64" i="41"/>
  <c r="B64" i="40"/>
  <c r="I63" i="40"/>
  <c r="G64" i="40"/>
  <c r="I64" i="40" s="1"/>
  <c r="D65" i="40"/>
  <c r="H70" i="39"/>
  <c r="G70" i="39"/>
  <c r="E71" i="39"/>
  <c r="F71" i="39" s="1"/>
  <c r="H71" i="39" s="1"/>
  <c r="B71" i="39"/>
  <c r="E152" i="40" l="1"/>
  <c r="F152" i="40" s="1"/>
  <c r="H152" i="40" s="1"/>
  <c r="B152" i="40"/>
  <c r="H65" i="41"/>
  <c r="G65" i="41"/>
  <c r="E66" i="41"/>
  <c r="F66" i="41" s="1"/>
  <c r="G66" i="41" s="1"/>
  <c r="E65" i="40"/>
  <c r="F65" i="40" s="1"/>
  <c r="G65" i="40" s="1"/>
  <c r="B65" i="40"/>
  <c r="G71" i="39"/>
  <c r="I71" i="39" s="1"/>
  <c r="D72" i="39"/>
  <c r="E72" i="39" s="1"/>
  <c r="F72" i="39" s="1"/>
  <c r="I70" i="39"/>
  <c r="G152" i="40" l="1"/>
  <c r="I152" i="40" s="1"/>
  <c r="D153" i="40"/>
  <c r="E153" i="40" s="1"/>
  <c r="F153" i="40" s="1"/>
  <c r="I65" i="41"/>
  <c r="D67" i="41"/>
  <c r="E67" i="41" s="1"/>
  <c r="F67" i="41" s="1"/>
  <c r="H67" i="41" s="1"/>
  <c r="H66" i="41"/>
  <c r="I66" i="41" s="1"/>
  <c r="H65" i="40"/>
  <c r="I65" i="40" s="1"/>
  <c r="D66" i="40"/>
  <c r="G72" i="39"/>
  <c r="D73" i="39"/>
  <c r="E73" i="39" s="1"/>
  <c r="E74" i="39" s="1"/>
  <c r="H72" i="39"/>
  <c r="D154" i="40" l="1"/>
  <c r="G153" i="40"/>
  <c r="I153" i="40" s="1"/>
  <c r="B153" i="40"/>
  <c r="H153" i="40"/>
  <c r="B67" i="41"/>
  <c r="D68" i="41"/>
  <c r="B68" i="41" s="1"/>
  <c r="G67" i="41"/>
  <c r="I67" i="41" s="1"/>
  <c r="I72" i="39"/>
  <c r="E66" i="40"/>
  <c r="F66" i="40" s="1"/>
  <c r="B66" i="40"/>
  <c r="B73" i="39"/>
  <c r="F73" i="39"/>
  <c r="H73" i="39" s="1"/>
  <c r="E68" i="41" l="1"/>
  <c r="F68" i="41" s="1"/>
  <c r="G68" i="41" s="1"/>
  <c r="E154" i="40"/>
  <c r="F154" i="40" s="1"/>
  <c r="H154" i="40" s="1"/>
  <c r="B154" i="40"/>
  <c r="D67" i="40"/>
  <c r="E67" i="40" s="1"/>
  <c r="H66" i="40"/>
  <c r="G66" i="40"/>
  <c r="G73" i="39"/>
  <c r="G74" i="39" s="1"/>
  <c r="H74" i="39"/>
  <c r="D69" i="41" l="1"/>
  <c r="E69" i="41" s="1"/>
  <c r="F69" i="41" s="1"/>
  <c r="H69" i="41" s="1"/>
  <c r="H68" i="41"/>
  <c r="I68" i="41" s="1"/>
  <c r="D155" i="40"/>
  <c r="E155" i="40" s="1"/>
  <c r="E156" i="40" s="1"/>
  <c r="G154" i="40"/>
  <c r="I154" i="40" s="1"/>
  <c r="B67" i="40"/>
  <c r="I66" i="40"/>
  <c r="F67" i="40"/>
  <c r="D68" i="40" s="1"/>
  <c r="I73" i="39"/>
  <c r="I74" i="39" s="1"/>
  <c r="B69" i="41" l="1"/>
  <c r="B155" i="40"/>
  <c r="F155" i="40"/>
  <c r="G155" i="40" s="1"/>
  <c r="I155" i="40" s="1"/>
  <c r="I156" i="40" s="1"/>
  <c r="G67" i="40"/>
  <c r="H67" i="40"/>
  <c r="E68" i="40"/>
  <c r="F68" i="40" s="1"/>
  <c r="H68" i="40" s="1"/>
  <c r="B68" i="40"/>
  <c r="G69" i="41"/>
  <c r="I69" i="41" s="1"/>
  <c r="D70" i="41"/>
  <c r="H155" i="40" l="1"/>
  <c r="H156" i="40" s="1"/>
  <c r="D69" i="40"/>
  <c r="E69" i="40" s="1"/>
  <c r="F69" i="40" s="1"/>
  <c r="G69" i="40" s="1"/>
  <c r="G68" i="40"/>
  <c r="I68" i="40" s="1"/>
  <c r="I67" i="40"/>
  <c r="E70" i="41"/>
  <c r="F70" i="41" s="1"/>
  <c r="G70" i="41" s="1"/>
  <c r="B70" i="41"/>
  <c r="B69" i="40" l="1"/>
  <c r="H70" i="41"/>
  <c r="I70" i="41" s="1"/>
  <c r="D71" i="41"/>
  <c r="H69" i="40"/>
  <c r="I69" i="40" s="1"/>
  <c r="D70" i="40"/>
  <c r="E71" i="41" l="1"/>
  <c r="F71" i="41" s="1"/>
  <c r="D72" i="41" s="1"/>
  <c r="B71" i="41"/>
  <c r="E70" i="40"/>
  <c r="F70" i="40" s="1"/>
  <c r="B70" i="40"/>
  <c r="H71" i="41" l="1"/>
  <c r="G71" i="41"/>
  <c r="D71" i="40"/>
  <c r="E71" i="40" s="1"/>
  <c r="F71" i="40" s="1"/>
  <c r="G70" i="40"/>
  <c r="H70" i="40"/>
  <c r="E72" i="41"/>
  <c r="F72" i="41" s="1"/>
  <c r="G72" i="41" s="1"/>
  <c r="I70" i="40" l="1"/>
  <c r="B71" i="40"/>
  <c r="I71" i="41"/>
  <c r="H72" i="41"/>
  <c r="I72" i="41" s="1"/>
  <c r="D73" i="41"/>
  <c r="D72" i="40"/>
  <c r="G71" i="40"/>
  <c r="H71" i="40"/>
  <c r="I71" i="40" l="1"/>
  <c r="E73" i="41"/>
  <c r="E74" i="41" s="1"/>
  <c r="B73" i="41"/>
  <c r="E72" i="40"/>
  <c r="F72" i="40" s="1"/>
  <c r="G72" i="40" s="1"/>
  <c r="F73" i="41" l="1"/>
  <c r="G73" i="41" s="1"/>
  <c r="G74" i="41" s="1"/>
  <c r="H72" i="40"/>
  <c r="I72" i="40" s="1"/>
  <c r="D73" i="40"/>
  <c r="H73" i="41" l="1"/>
  <c r="I73" i="41" s="1"/>
  <c r="I74" i="41" s="1"/>
  <c r="E73" i="40"/>
  <c r="E74" i="40" s="1"/>
  <c r="B73" i="40"/>
  <c r="H74" i="41" l="1"/>
  <c r="F73" i="40"/>
  <c r="H73" i="40" l="1"/>
  <c r="G73" i="40"/>
  <c r="G74" i="40" s="1"/>
  <c r="H74" i="40" l="1"/>
  <c r="I73" i="40"/>
  <c r="I74" i="40" s="1"/>
  <c r="K18" i="17" l="1"/>
  <c r="L18" i="17" s="1"/>
  <c r="K35" i="17"/>
  <c r="L35" i="17" s="1"/>
  <c r="K34" i="17"/>
  <c r="L34" i="17" s="1"/>
  <c r="K30" i="17"/>
  <c r="L30" i="17" s="1"/>
  <c r="V30" i="17" s="1"/>
  <c r="K27" i="17"/>
  <c r="L27" i="17" s="1"/>
  <c r="K33" i="17"/>
  <c r="L33" i="17" s="1"/>
  <c r="K39" i="17"/>
  <c r="L39" i="17" s="1"/>
  <c r="V39" i="17" s="1"/>
  <c r="K31" i="17"/>
  <c r="L31" i="17" s="1"/>
  <c r="K32" i="17"/>
  <c r="L32" i="17" s="1"/>
  <c r="K29" i="17"/>
  <c r="L29" i="17" s="1"/>
  <c r="K23" i="17"/>
  <c r="L23" i="17" s="1"/>
  <c r="K21" i="17"/>
  <c r="L21" i="17" s="1"/>
  <c r="K36" i="17"/>
  <c r="L36" i="17" s="1"/>
  <c r="K19" i="17"/>
  <c r="L19" i="17" s="1"/>
  <c r="K37" i="17"/>
  <c r="L37" i="17" s="1"/>
  <c r="K20" i="17"/>
  <c r="L20" i="17" s="1"/>
  <c r="K24" i="17"/>
  <c r="L24" i="17" s="1"/>
  <c r="K38" i="17"/>
  <c r="L38" i="17" s="1"/>
  <c r="V38" i="17" s="1"/>
  <c r="K28" i="17"/>
  <c r="L28" i="17" s="1"/>
  <c r="K25" i="17"/>
  <c r="L25" i="17" s="1"/>
  <c r="K26" i="17"/>
  <c r="L26" i="17" s="1"/>
  <c r="L46" i="17" l="1"/>
  <c r="F88" i="2" l="1"/>
  <c r="F89" i="2" s="1"/>
  <c r="F91" i="2" s="1"/>
  <c r="F92" i="2" s="1"/>
  <c r="F93" i="2" s="1"/>
  <c r="D96" i="39" s="1"/>
  <c r="J97" i="39" s="1"/>
  <c r="D96" i="31"/>
  <c r="J97" i="31" s="1"/>
  <c r="D96" i="13"/>
  <c r="D96" i="20"/>
  <c r="D96" i="37"/>
  <c r="J97" i="37" s="1"/>
  <c r="D96" i="27"/>
  <c r="J97" i="27" s="1"/>
  <c r="D96" i="26"/>
  <c r="J97" i="26" s="1"/>
  <c r="D96" i="28"/>
  <c r="J97" i="28" s="1"/>
  <c r="D96" i="38"/>
  <c r="J97" i="38" s="1"/>
  <c r="D96" i="35"/>
  <c r="J97" i="35" s="1"/>
  <c r="D96" i="24"/>
  <c r="J97" i="24" s="1"/>
  <c r="D96" i="34"/>
  <c r="J97" i="34" s="1"/>
  <c r="D96" i="29"/>
  <c r="J97" i="29" s="1"/>
  <c r="D96" i="22"/>
  <c r="J97" i="22" s="1"/>
  <c r="D96" i="19"/>
  <c r="J97" i="19" s="1"/>
  <c r="D96" i="21"/>
  <c r="J97" i="21" s="1"/>
  <c r="D96" i="23"/>
  <c r="J97" i="23" s="1"/>
  <c r="D96" i="3"/>
  <c r="J97" i="3" s="1"/>
  <c r="D96" i="25"/>
  <c r="J97" i="25" s="1"/>
  <c r="D96" i="4"/>
  <c r="J97" i="4" s="1"/>
  <c r="D96" i="18" l="1"/>
  <c r="J97" i="18" s="1"/>
  <c r="E114" i="19"/>
  <c r="F114" i="19" s="1"/>
  <c r="E115" i="19" s="1"/>
  <c r="E111" i="26"/>
  <c r="F111" i="26" s="1"/>
  <c r="E112" i="26" s="1"/>
  <c r="E111" i="22"/>
  <c r="F111" i="22" s="1"/>
  <c r="E112" i="22" s="1"/>
  <c r="E111" i="27"/>
  <c r="F111" i="27" s="1"/>
  <c r="E112" i="27" s="1"/>
  <c r="E109" i="29"/>
  <c r="F109" i="29" s="1"/>
  <c r="E107" i="37"/>
  <c r="E115" i="4"/>
  <c r="F115" i="4" s="1"/>
  <c r="E116" i="4" s="1"/>
  <c r="E108" i="34"/>
  <c r="F108" i="34" s="1"/>
  <c r="E109" i="34" s="1"/>
  <c r="E110" i="25"/>
  <c r="F110" i="25" s="1"/>
  <c r="E111" i="25" s="1"/>
  <c r="E112" i="24"/>
  <c r="F112" i="24" s="1"/>
  <c r="E113" i="24" s="1"/>
  <c r="E115" i="3"/>
  <c r="F115" i="3" s="1"/>
  <c r="E116" i="3" s="1"/>
  <c r="E108" i="35"/>
  <c r="F108" i="35" s="1"/>
  <c r="E109" i="35" s="1"/>
  <c r="E108" i="31"/>
  <c r="F108" i="31" s="1"/>
  <c r="E109" i="31" s="1"/>
  <c r="E111" i="23"/>
  <c r="F111" i="23" s="1"/>
  <c r="E112" i="23" s="1"/>
  <c r="E107" i="38"/>
  <c r="F107" i="38" s="1"/>
  <c r="E108" i="38" s="1"/>
  <c r="E114" i="18"/>
  <c r="F114" i="18" s="1"/>
  <c r="E112" i="21"/>
  <c r="F112" i="21" s="1"/>
  <c r="E113" i="21" s="1"/>
  <c r="E105" i="39"/>
  <c r="F105" i="39" s="1"/>
  <c r="E106" i="39"/>
  <c r="H112" i="21" l="1"/>
  <c r="M89" i="21" s="1"/>
  <c r="M90" i="21" s="1"/>
  <c r="G112" i="21"/>
  <c r="I112" i="21" s="1"/>
  <c r="D113" i="21"/>
  <c r="H107" i="38"/>
  <c r="M89" i="38" s="1"/>
  <c r="M90" i="38" s="1"/>
  <c r="G107" i="38"/>
  <c r="I107" i="38" s="1"/>
  <c r="D108" i="38"/>
  <c r="B108" i="38" s="1"/>
  <c r="H114" i="18"/>
  <c r="G114" i="18"/>
  <c r="I114" i="18" s="1"/>
  <c r="D115" i="18"/>
  <c r="E115" i="18"/>
  <c r="H105" i="39"/>
  <c r="M89" i="39" s="1"/>
  <c r="M90" i="39" s="1"/>
  <c r="D106" i="39"/>
  <c r="G105" i="39"/>
  <c r="I105" i="39" s="1"/>
  <c r="E110" i="29"/>
  <c r="D110" i="29"/>
  <c r="G109" i="29"/>
  <c r="I109" i="29" s="1"/>
  <c r="H109" i="29"/>
  <c r="M89" i="29" s="1"/>
  <c r="M90" i="29" s="1"/>
  <c r="H112" i="24"/>
  <c r="M89" i="24" s="1"/>
  <c r="M90" i="24" s="1"/>
  <c r="G112" i="24"/>
  <c r="I112" i="24" s="1"/>
  <c r="D113" i="24"/>
  <c r="H111" i="22"/>
  <c r="M89" i="22" s="1"/>
  <c r="M90" i="22" s="1"/>
  <c r="G111" i="22"/>
  <c r="I111" i="22" s="1"/>
  <c r="D112" i="22"/>
  <c r="H108" i="34"/>
  <c r="M89" i="34" s="1"/>
  <c r="M90" i="34" s="1"/>
  <c r="D109" i="34"/>
  <c r="G108" i="34"/>
  <c r="I108" i="34" s="1"/>
  <c r="H115" i="4"/>
  <c r="M89" i="4" s="1"/>
  <c r="M90" i="4" s="1"/>
  <c r="G115" i="4"/>
  <c r="I115" i="4" s="1"/>
  <c r="D116" i="4"/>
  <c r="H108" i="31"/>
  <c r="M89" i="31" s="1"/>
  <c r="M90" i="31" s="1"/>
  <c r="G108" i="31"/>
  <c r="I108" i="31" s="1"/>
  <c r="D109" i="31"/>
  <c r="H108" i="35"/>
  <c r="D109" i="35"/>
  <c r="G108" i="35"/>
  <c r="I108" i="35" s="1"/>
  <c r="H110" i="25"/>
  <c r="M89" i="25" s="1"/>
  <c r="M90" i="25" s="1"/>
  <c r="G110" i="25"/>
  <c r="I110" i="25" s="1"/>
  <c r="D111" i="25"/>
  <c r="F107" i="37"/>
  <c r="D112" i="23"/>
  <c r="F112" i="23" s="1"/>
  <c r="G111" i="23"/>
  <c r="I111" i="23" s="1"/>
  <c r="H111" i="23"/>
  <c r="M89" i="23" s="1"/>
  <c r="M90" i="23" s="1"/>
  <c r="H115" i="3"/>
  <c r="M89" i="3" s="1"/>
  <c r="D116" i="3"/>
  <c r="G115" i="3"/>
  <c r="I115" i="3" s="1"/>
  <c r="H111" i="27"/>
  <c r="M89" i="27" s="1"/>
  <c r="M90" i="27" s="1"/>
  <c r="D112" i="27"/>
  <c r="G111" i="27"/>
  <c r="I111" i="27" s="1"/>
  <c r="H111" i="26"/>
  <c r="M89" i="26" s="1"/>
  <c r="M90" i="26" s="1"/>
  <c r="D112" i="26"/>
  <c r="G111" i="26"/>
  <c r="I111" i="26" s="1"/>
  <c r="H114" i="19"/>
  <c r="M89" i="19" s="1"/>
  <c r="M90" i="19" s="1"/>
  <c r="D115" i="19"/>
  <c r="G114" i="19"/>
  <c r="I114" i="19" s="1"/>
  <c r="I21" i="17"/>
  <c r="I33" i="17"/>
  <c r="I26" i="17"/>
  <c r="I23" i="17"/>
  <c r="I36" i="17"/>
  <c r="I28" i="17"/>
  <c r="I24" i="17"/>
  <c r="I37" i="17"/>
  <c r="I29" i="17"/>
  <c r="I31" i="17"/>
  <c r="I32" i="17"/>
  <c r="I25" i="17"/>
  <c r="I27" i="17"/>
  <c r="I19" i="17"/>
  <c r="V32" i="17" l="1"/>
  <c r="V24" i="17"/>
  <c r="V26" i="17"/>
  <c r="V19" i="17"/>
  <c r="V36" i="17"/>
  <c r="V27" i="17"/>
  <c r="V37" i="17"/>
  <c r="V25" i="17"/>
  <c r="V31" i="17"/>
  <c r="V28" i="17"/>
  <c r="V33" i="17"/>
  <c r="V21" i="17"/>
  <c r="V29" i="17"/>
  <c r="V23" i="17"/>
  <c r="D113" i="23"/>
  <c r="G112" i="23"/>
  <c r="I112" i="23" s="1"/>
  <c r="E113" i="23"/>
  <c r="F115" i="19"/>
  <c r="B115" i="19"/>
  <c r="J115" i="3"/>
  <c r="N89" i="3"/>
  <c r="F111" i="25"/>
  <c r="B111" i="25"/>
  <c r="J111" i="22"/>
  <c r="N89" i="22"/>
  <c r="M89" i="18"/>
  <c r="M90" i="18" s="1"/>
  <c r="B116" i="3"/>
  <c r="F116" i="3"/>
  <c r="M90" i="3"/>
  <c r="J115" i="4"/>
  <c r="N89" i="4"/>
  <c r="F113" i="24"/>
  <c r="B113" i="24"/>
  <c r="N89" i="39"/>
  <c r="J105" i="39"/>
  <c r="J107" i="38"/>
  <c r="N89" i="38"/>
  <c r="J111" i="26"/>
  <c r="N89" i="26"/>
  <c r="J108" i="35"/>
  <c r="N89" i="35"/>
  <c r="J112" i="24"/>
  <c r="N89" i="24"/>
  <c r="B106" i="39"/>
  <c r="F106" i="39"/>
  <c r="H106" i="39" s="1"/>
  <c r="J110" i="25"/>
  <c r="N89" i="25"/>
  <c r="F112" i="26"/>
  <c r="B112" i="26"/>
  <c r="B109" i="35"/>
  <c r="F109" i="35"/>
  <c r="J108" i="34"/>
  <c r="N89" i="34"/>
  <c r="F108" i="38"/>
  <c r="J111" i="27"/>
  <c r="N89" i="27"/>
  <c r="M89" i="35"/>
  <c r="M90" i="35" s="1"/>
  <c r="F109" i="34"/>
  <c r="B109" i="34"/>
  <c r="F113" i="21"/>
  <c r="B113" i="21"/>
  <c r="B116" i="4"/>
  <c r="F116" i="4"/>
  <c r="J111" i="23"/>
  <c r="N89" i="23"/>
  <c r="H112" i="23"/>
  <c r="B112" i="27"/>
  <c r="F112" i="27"/>
  <c r="B109" i="31"/>
  <c r="F109" i="31"/>
  <c r="J109" i="29"/>
  <c r="N89" i="29"/>
  <c r="B115" i="18"/>
  <c r="F115" i="18"/>
  <c r="J112" i="21"/>
  <c r="N89" i="21"/>
  <c r="J114" i="19"/>
  <c r="N89" i="19"/>
  <c r="H107" i="37"/>
  <c r="M89" i="37" s="1"/>
  <c r="M90" i="37" s="1"/>
  <c r="G107" i="37"/>
  <c r="I107" i="37" s="1"/>
  <c r="D108" i="37"/>
  <c r="E108" i="37"/>
  <c r="J108" i="31"/>
  <c r="N89" i="31"/>
  <c r="F112" i="22"/>
  <c r="B112" i="22"/>
  <c r="F110" i="29"/>
  <c r="H110" i="29" s="1"/>
  <c r="J114" i="18"/>
  <c r="N89" i="18"/>
  <c r="I34" i="17"/>
  <c r="I18" i="17"/>
  <c r="I35" i="17"/>
  <c r="I20" i="17"/>
  <c r="I46" i="17" l="1"/>
  <c r="V18" i="17"/>
  <c r="V20" i="17"/>
  <c r="V35" i="17"/>
  <c r="V34" i="17"/>
  <c r="O89" i="31"/>
  <c r="O90" i="31" s="1"/>
  <c r="N90" i="31"/>
  <c r="H109" i="31"/>
  <c r="G109" i="31"/>
  <c r="I109" i="31" s="1"/>
  <c r="D110" i="31"/>
  <c r="E110" i="31"/>
  <c r="H116" i="4"/>
  <c r="D117" i="4"/>
  <c r="G116" i="4"/>
  <c r="I116" i="4" s="1"/>
  <c r="E117" i="4"/>
  <c r="N90" i="27"/>
  <c r="O89" i="27"/>
  <c r="O90" i="27" s="1"/>
  <c r="J112" i="23"/>
  <c r="N90" i="18"/>
  <c r="O89" i="18"/>
  <c r="O90" i="18" s="1"/>
  <c r="N90" i="21"/>
  <c r="O89" i="21"/>
  <c r="O90" i="21" s="1"/>
  <c r="H112" i="26"/>
  <c r="G112" i="26"/>
  <c r="I112" i="26" s="1"/>
  <c r="D113" i="26"/>
  <c r="E113" i="26"/>
  <c r="N90" i="35"/>
  <c r="O89" i="35"/>
  <c r="O90" i="35" s="1"/>
  <c r="O89" i="39"/>
  <c r="O90" i="39" s="1"/>
  <c r="N90" i="39"/>
  <c r="H116" i="3"/>
  <c r="G116" i="3"/>
  <c r="I116" i="3" s="1"/>
  <c r="D117" i="3"/>
  <c r="E117" i="3"/>
  <c r="H111" i="25"/>
  <c r="G111" i="25"/>
  <c r="I111" i="25" s="1"/>
  <c r="D112" i="25"/>
  <c r="E112" i="25"/>
  <c r="F113" i="23"/>
  <c r="H113" i="23" s="1"/>
  <c r="O89" i="3"/>
  <c r="O90" i="3" s="1"/>
  <c r="N90" i="3"/>
  <c r="H113" i="21"/>
  <c r="G113" i="21"/>
  <c r="I113" i="21" s="1"/>
  <c r="D114" i="21"/>
  <c r="E114" i="21"/>
  <c r="H108" i="38"/>
  <c r="G108" i="38"/>
  <c r="I108" i="38" s="1"/>
  <c r="J108" i="38" s="1"/>
  <c r="D109" i="38"/>
  <c r="B109" i="38" s="1"/>
  <c r="E109" i="38"/>
  <c r="N90" i="26"/>
  <c r="O89" i="26"/>
  <c r="O90" i="26" s="1"/>
  <c r="H113" i="24"/>
  <c r="D114" i="24"/>
  <c r="G113" i="24"/>
  <c r="I113" i="24" s="1"/>
  <c r="E114" i="24"/>
  <c r="F108" i="37"/>
  <c r="B108" i="37"/>
  <c r="J107" i="37"/>
  <c r="N89" i="37"/>
  <c r="O18" i="2" s="1"/>
  <c r="H115" i="18"/>
  <c r="G115" i="18"/>
  <c r="I115" i="18" s="1"/>
  <c r="D116" i="18"/>
  <c r="E116" i="18"/>
  <c r="N90" i="34"/>
  <c r="O89" i="34"/>
  <c r="O90" i="34" s="1"/>
  <c r="O89" i="4"/>
  <c r="O90" i="4" s="1"/>
  <c r="N90" i="4"/>
  <c r="N90" i="25"/>
  <c r="O89" i="25"/>
  <c r="O90" i="25" s="1"/>
  <c r="O89" i="23"/>
  <c r="O90" i="23" s="1"/>
  <c r="N90" i="23"/>
  <c r="H109" i="34"/>
  <c r="G109" i="34"/>
  <c r="I109" i="34" s="1"/>
  <c r="D110" i="34"/>
  <c r="E110" i="34"/>
  <c r="G106" i="39"/>
  <c r="I106" i="39" s="1"/>
  <c r="J106" i="39" s="1"/>
  <c r="D107" i="39"/>
  <c r="E107" i="39"/>
  <c r="O89" i="22"/>
  <c r="O90" i="22" s="1"/>
  <c r="N90" i="22"/>
  <c r="H112" i="27"/>
  <c r="D113" i="27"/>
  <c r="G112" i="27"/>
  <c r="I112" i="27" s="1"/>
  <c r="E113" i="27"/>
  <c r="G110" i="29"/>
  <c r="I110" i="29" s="1"/>
  <c r="J110" i="29" s="1"/>
  <c r="D111" i="29"/>
  <c r="E111" i="29"/>
  <c r="O89" i="19"/>
  <c r="O90" i="19" s="1"/>
  <c r="N90" i="19"/>
  <c r="N90" i="29"/>
  <c r="O89" i="29"/>
  <c r="O90" i="29" s="1"/>
  <c r="H109" i="35"/>
  <c r="D110" i="35"/>
  <c r="G109" i="35"/>
  <c r="I109" i="35" s="1"/>
  <c r="E110" i="35"/>
  <c r="N90" i="38"/>
  <c r="O89" i="38"/>
  <c r="O90" i="38" s="1"/>
  <c r="H115" i="19"/>
  <c r="G115" i="19"/>
  <c r="I115" i="19" s="1"/>
  <c r="D116" i="19"/>
  <c r="E116" i="19"/>
  <c r="H112" i="22"/>
  <c r="D113" i="22"/>
  <c r="G112" i="22"/>
  <c r="I112" i="22" s="1"/>
  <c r="E113" i="22"/>
  <c r="O89" i="24"/>
  <c r="O90" i="24" s="1"/>
  <c r="N90" i="24"/>
  <c r="N18" i="2"/>
  <c r="J109" i="35" l="1"/>
  <c r="J113" i="24"/>
  <c r="J109" i="34"/>
  <c r="B113" i="22"/>
  <c r="F113" i="22"/>
  <c r="B116" i="18"/>
  <c r="F116" i="18"/>
  <c r="J115" i="18"/>
  <c r="J112" i="22"/>
  <c r="J115" i="19"/>
  <c r="J112" i="27"/>
  <c r="F107" i="39"/>
  <c r="H107" i="39" s="1"/>
  <c r="B107" i="39"/>
  <c r="F109" i="38"/>
  <c r="J116" i="4"/>
  <c r="P18" i="2"/>
  <c r="P19" i="2" s="1"/>
  <c r="R135" i="2"/>
  <c r="O19" i="2"/>
  <c r="J111" i="25"/>
  <c r="F117" i="4"/>
  <c r="B117" i="4"/>
  <c r="F112" i="25"/>
  <c r="B112" i="25"/>
  <c r="F110" i="34"/>
  <c r="B110" i="34"/>
  <c r="O89" i="37"/>
  <c r="O90" i="37" s="1"/>
  <c r="N90" i="37"/>
  <c r="B114" i="24"/>
  <c r="F114" i="24"/>
  <c r="F113" i="27"/>
  <c r="B113" i="27"/>
  <c r="N19" i="2"/>
  <c r="N20" i="2" s="1"/>
  <c r="R134" i="2"/>
  <c r="F114" i="21"/>
  <c r="B114" i="21"/>
  <c r="B117" i="3"/>
  <c r="F117" i="3"/>
  <c r="B113" i="26"/>
  <c r="F113" i="26"/>
  <c r="B110" i="31"/>
  <c r="F110" i="31"/>
  <c r="F110" i="35"/>
  <c r="B110" i="35"/>
  <c r="J113" i="21"/>
  <c r="J116" i="3"/>
  <c r="J112" i="26"/>
  <c r="J109" i="31"/>
  <c r="V46" i="17"/>
  <c r="F111" i="29"/>
  <c r="H111" i="29"/>
  <c r="F116" i="19"/>
  <c r="B116" i="19"/>
  <c r="H108" i="37"/>
  <c r="G108" i="37"/>
  <c r="I108" i="37" s="1"/>
  <c r="D109" i="37"/>
  <c r="E109" i="37"/>
  <c r="D114" i="23"/>
  <c r="G113" i="23"/>
  <c r="I113" i="23" s="1"/>
  <c r="E114" i="23"/>
  <c r="F114" i="23" s="1"/>
  <c r="J108" i="37" l="1"/>
  <c r="H109" i="38"/>
  <c r="D110" i="38"/>
  <c r="B110" i="38" s="1"/>
  <c r="G109" i="38"/>
  <c r="I109" i="38" s="1"/>
  <c r="J109" i="38" s="1"/>
  <c r="E110" i="38"/>
  <c r="F110" i="38" s="1"/>
  <c r="H114" i="21"/>
  <c r="D115" i="21"/>
  <c r="G114" i="21"/>
  <c r="I114" i="21" s="1"/>
  <c r="E115" i="21"/>
  <c r="H117" i="4"/>
  <c r="D118" i="4"/>
  <c r="G117" i="4"/>
  <c r="I117" i="4" s="1"/>
  <c r="E118" i="4"/>
  <c r="J113" i="23"/>
  <c r="H116" i="19"/>
  <c r="D117" i="19"/>
  <c r="G116" i="19"/>
  <c r="I116" i="19" s="1"/>
  <c r="E117" i="19"/>
  <c r="H110" i="31"/>
  <c r="G110" i="31"/>
  <c r="I110" i="31" s="1"/>
  <c r="D111" i="31"/>
  <c r="E111" i="31"/>
  <c r="O20" i="2"/>
  <c r="D108" i="39"/>
  <c r="G107" i="39"/>
  <c r="I107" i="39" s="1"/>
  <c r="J107" i="39" s="1"/>
  <c r="E108" i="39"/>
  <c r="D112" i="29"/>
  <c r="G111" i="29"/>
  <c r="I111" i="29" s="1"/>
  <c r="J111" i="29" s="1"/>
  <c r="E112" i="29"/>
  <c r="F112" i="29" s="1"/>
  <c r="H113" i="26"/>
  <c r="D114" i="26"/>
  <c r="G113" i="26"/>
  <c r="I113" i="26" s="1"/>
  <c r="E114" i="26"/>
  <c r="H110" i="34"/>
  <c r="D111" i="34"/>
  <c r="G110" i="34"/>
  <c r="I110" i="34" s="1"/>
  <c r="J110" i="34" s="1"/>
  <c r="E111" i="34"/>
  <c r="H116" i="18"/>
  <c r="D117" i="18"/>
  <c r="G116" i="18"/>
  <c r="I116" i="18" s="1"/>
  <c r="E117" i="18"/>
  <c r="H113" i="27"/>
  <c r="D114" i="27"/>
  <c r="G113" i="27"/>
  <c r="I113" i="27" s="1"/>
  <c r="E114" i="27"/>
  <c r="P20" i="2"/>
  <c r="H117" i="3"/>
  <c r="G117" i="3"/>
  <c r="I117" i="3" s="1"/>
  <c r="D118" i="3"/>
  <c r="E118" i="3"/>
  <c r="H112" i="25"/>
  <c r="G112" i="25"/>
  <c r="I112" i="25" s="1"/>
  <c r="D113" i="25"/>
  <c r="E113" i="25"/>
  <c r="H113" i="22"/>
  <c r="D114" i="22"/>
  <c r="G113" i="22"/>
  <c r="I113" i="22" s="1"/>
  <c r="E114" i="22"/>
  <c r="G114" i="23"/>
  <c r="I114" i="23" s="1"/>
  <c r="D115" i="23"/>
  <c r="E115" i="23"/>
  <c r="H114" i="23"/>
  <c r="F109" i="37"/>
  <c r="B109" i="37"/>
  <c r="H110" i="35"/>
  <c r="D111" i="35"/>
  <c r="G110" i="35"/>
  <c r="I110" i="35" s="1"/>
  <c r="E111" i="35"/>
  <c r="H114" i="24"/>
  <c r="D115" i="24"/>
  <c r="G114" i="24"/>
  <c r="I114" i="24" s="1"/>
  <c r="E115" i="24"/>
  <c r="J110" i="35" l="1"/>
  <c r="H109" i="37"/>
  <c r="G109" i="37"/>
  <c r="I109" i="37" s="1"/>
  <c r="J109" i="37" s="1"/>
  <c r="D110" i="37"/>
  <c r="E110" i="37"/>
  <c r="B114" i="22"/>
  <c r="F114" i="22"/>
  <c r="F118" i="3"/>
  <c r="B118" i="3"/>
  <c r="B117" i="18"/>
  <c r="F117" i="18"/>
  <c r="F114" i="26"/>
  <c r="B114" i="26"/>
  <c r="F108" i="39"/>
  <c r="H108" i="39" s="1"/>
  <c r="B108" i="39"/>
  <c r="B117" i="19"/>
  <c r="F117" i="19"/>
  <c r="J114" i="24"/>
  <c r="J114" i="21"/>
  <c r="B115" i="21"/>
  <c r="F115" i="21"/>
  <c r="G112" i="29"/>
  <c r="I112" i="29" s="1"/>
  <c r="D113" i="29"/>
  <c r="E113" i="29"/>
  <c r="F113" i="25"/>
  <c r="B113" i="25"/>
  <c r="J113" i="27"/>
  <c r="F111" i="31"/>
  <c r="B111" i="31"/>
  <c r="J117" i="3"/>
  <c r="J112" i="25"/>
  <c r="B114" i="27"/>
  <c r="F114" i="27"/>
  <c r="F111" i="34"/>
  <c r="B111" i="34"/>
  <c r="H112" i="29"/>
  <c r="J112" i="29" s="1"/>
  <c r="J110" i="31"/>
  <c r="H110" i="38"/>
  <c r="D111" i="38"/>
  <c r="B111" i="38" s="1"/>
  <c r="G110" i="38"/>
  <c r="I110" i="38" s="1"/>
  <c r="J110" i="38" s="1"/>
  <c r="E111" i="38"/>
  <c r="F115" i="23"/>
  <c r="H115" i="23" s="1"/>
  <c r="J114" i="23"/>
  <c r="J117" i="4"/>
  <c r="F111" i="35"/>
  <c r="B111" i="35"/>
  <c r="B118" i="4"/>
  <c r="F118" i="4"/>
  <c r="B115" i="24"/>
  <c r="F115" i="24"/>
  <c r="J113" i="22"/>
  <c r="J116" i="18"/>
  <c r="J113" i="26"/>
  <c r="J116" i="19"/>
  <c r="F111" i="38" l="1"/>
  <c r="H111" i="34"/>
  <c r="G111" i="34"/>
  <c r="I111" i="34" s="1"/>
  <c r="J111" i="34" s="1"/>
  <c r="D112" i="34"/>
  <c r="E112" i="34"/>
  <c r="H115" i="24"/>
  <c r="G115" i="24"/>
  <c r="I115" i="24" s="1"/>
  <c r="J115" i="24" s="1"/>
  <c r="D116" i="24"/>
  <c r="E116" i="24"/>
  <c r="H111" i="31"/>
  <c r="G111" i="31"/>
  <c r="I111" i="31" s="1"/>
  <c r="J111" i="31" s="1"/>
  <c r="D112" i="31"/>
  <c r="E112" i="31"/>
  <c r="H115" i="21"/>
  <c r="G115" i="21"/>
  <c r="I115" i="21" s="1"/>
  <c r="D116" i="21"/>
  <c r="E116" i="21"/>
  <c r="H118" i="3"/>
  <c r="G118" i="3"/>
  <c r="I118" i="3" s="1"/>
  <c r="D119" i="3"/>
  <c r="E119" i="3"/>
  <c r="H114" i="22"/>
  <c r="D115" i="22"/>
  <c r="G114" i="22"/>
  <c r="I114" i="22" s="1"/>
  <c r="E115" i="22"/>
  <c r="D116" i="23"/>
  <c r="G115" i="23"/>
  <c r="I115" i="23" s="1"/>
  <c r="E116" i="23"/>
  <c r="G108" i="39"/>
  <c r="I108" i="39" s="1"/>
  <c r="J108" i="39" s="1"/>
  <c r="D109" i="39"/>
  <c r="E109" i="39"/>
  <c r="H111" i="38"/>
  <c r="G111" i="38"/>
  <c r="I111" i="38" s="1"/>
  <c r="D112" i="38"/>
  <c r="B112" i="38" s="1"/>
  <c r="E112" i="38"/>
  <c r="F112" i="38" s="1"/>
  <c r="H118" i="4"/>
  <c r="D119" i="4"/>
  <c r="G118" i="4"/>
  <c r="I118" i="4" s="1"/>
  <c r="E119" i="4"/>
  <c r="H114" i="27"/>
  <c r="G114" i="27"/>
  <c r="I114" i="27" s="1"/>
  <c r="D115" i="27"/>
  <c r="E115" i="27"/>
  <c r="H111" i="35"/>
  <c r="D112" i="35"/>
  <c r="G111" i="35"/>
  <c r="I111" i="35" s="1"/>
  <c r="E112" i="35"/>
  <c r="H113" i="25"/>
  <c r="G113" i="25"/>
  <c r="I113" i="25" s="1"/>
  <c r="D114" i="25"/>
  <c r="E114" i="25"/>
  <c r="H114" i="26"/>
  <c r="D115" i="26"/>
  <c r="G114" i="26"/>
  <c r="I114" i="26" s="1"/>
  <c r="E115" i="26"/>
  <c r="F110" i="37"/>
  <c r="B110" i="37"/>
  <c r="H117" i="18"/>
  <c r="G117" i="18"/>
  <c r="I117" i="18" s="1"/>
  <c r="D118" i="18"/>
  <c r="E118" i="18"/>
  <c r="F113" i="29"/>
  <c r="H113" i="29"/>
  <c r="H117" i="19"/>
  <c r="G117" i="19"/>
  <c r="I117" i="19" s="1"/>
  <c r="D118" i="19"/>
  <c r="E118" i="19"/>
  <c r="J113" i="25" l="1"/>
  <c r="J111" i="38"/>
  <c r="J114" i="27"/>
  <c r="J117" i="19"/>
  <c r="H110" i="37"/>
  <c r="G110" i="37"/>
  <c r="I110" i="37" s="1"/>
  <c r="D111" i="37"/>
  <c r="E111" i="37"/>
  <c r="J114" i="22"/>
  <c r="F116" i="21"/>
  <c r="B116" i="21"/>
  <c r="B116" i="24"/>
  <c r="F116" i="24"/>
  <c r="F115" i="22"/>
  <c r="B115" i="22"/>
  <c r="J115" i="21"/>
  <c r="E114" i="29"/>
  <c r="G113" i="29"/>
  <c r="I113" i="29" s="1"/>
  <c r="J113" i="29" s="1"/>
  <c r="D114" i="29"/>
  <c r="J114" i="26"/>
  <c r="J111" i="35"/>
  <c r="J118" i="4"/>
  <c r="F109" i="39"/>
  <c r="H109" i="39" s="1"/>
  <c r="B109" i="39"/>
  <c r="F119" i="3"/>
  <c r="B119" i="3"/>
  <c r="F112" i="31"/>
  <c r="B112" i="31"/>
  <c r="F112" i="34"/>
  <c r="B112" i="34"/>
  <c r="B112" i="35"/>
  <c r="F112" i="35"/>
  <c r="J117" i="18"/>
  <c r="H112" i="38"/>
  <c r="G112" i="38"/>
  <c r="I112" i="38" s="1"/>
  <c r="D113" i="38"/>
  <c r="B113" i="38" s="1"/>
  <c r="E113" i="38"/>
  <c r="J115" i="23"/>
  <c r="J118" i="3"/>
  <c r="B115" i="26"/>
  <c r="F115" i="26"/>
  <c r="B119" i="4"/>
  <c r="F119" i="4"/>
  <c r="B118" i="18"/>
  <c r="F118" i="18"/>
  <c r="F118" i="19"/>
  <c r="B118" i="19"/>
  <c r="B114" i="25"/>
  <c r="F114" i="25"/>
  <c r="F115" i="27"/>
  <c r="B115" i="27"/>
  <c r="F116" i="23"/>
  <c r="H116" i="23" s="1"/>
  <c r="F113" i="38" l="1"/>
  <c r="J110" i="37"/>
  <c r="H112" i="31"/>
  <c r="D113" i="31"/>
  <c r="G112" i="31"/>
  <c r="I112" i="31" s="1"/>
  <c r="J112" i="31" s="1"/>
  <c r="E113" i="31"/>
  <c r="H115" i="22"/>
  <c r="G115" i="22"/>
  <c r="I115" i="22" s="1"/>
  <c r="D116" i="22"/>
  <c r="E116" i="22"/>
  <c r="B111" i="37"/>
  <c r="F111" i="37"/>
  <c r="H119" i="3"/>
  <c r="G119" i="3"/>
  <c r="I119" i="3" s="1"/>
  <c r="D120" i="3"/>
  <c r="E120" i="3"/>
  <c r="H116" i="24"/>
  <c r="G116" i="24"/>
  <c r="I116" i="24" s="1"/>
  <c r="D117" i="24"/>
  <c r="E117" i="24"/>
  <c r="H118" i="19"/>
  <c r="D119" i="19"/>
  <c r="G118" i="19"/>
  <c r="I118" i="19" s="1"/>
  <c r="E119" i="19"/>
  <c r="H118" i="18"/>
  <c r="G118" i="18"/>
  <c r="I118" i="18" s="1"/>
  <c r="D119" i="18"/>
  <c r="E119" i="18"/>
  <c r="H112" i="35"/>
  <c r="D113" i="35"/>
  <c r="G112" i="35"/>
  <c r="I112" i="35" s="1"/>
  <c r="E113" i="35"/>
  <c r="F114" i="29"/>
  <c r="H114" i="29" s="1"/>
  <c r="H113" i="38"/>
  <c r="G113" i="38"/>
  <c r="I113" i="38" s="1"/>
  <c r="J113" i="38" s="1"/>
  <c r="D114" i="38"/>
  <c r="B114" i="38" s="1"/>
  <c r="E114" i="38"/>
  <c r="D110" i="39"/>
  <c r="G109" i="39"/>
  <c r="I109" i="39" s="1"/>
  <c r="J109" i="39" s="1"/>
  <c r="E110" i="39"/>
  <c r="H116" i="21"/>
  <c r="G116" i="21"/>
  <c r="I116" i="21" s="1"/>
  <c r="D117" i="21"/>
  <c r="E117" i="21"/>
  <c r="G116" i="23"/>
  <c r="I116" i="23" s="1"/>
  <c r="D117" i="23"/>
  <c r="E117" i="23"/>
  <c r="H119" i="4"/>
  <c r="G119" i="4"/>
  <c r="I119" i="4" s="1"/>
  <c r="D120" i="4"/>
  <c r="E120" i="4"/>
  <c r="H115" i="27"/>
  <c r="D116" i="27"/>
  <c r="G115" i="27"/>
  <c r="I115" i="27" s="1"/>
  <c r="E116" i="27"/>
  <c r="H112" i="34"/>
  <c r="D113" i="34"/>
  <c r="G112" i="34"/>
  <c r="I112" i="34" s="1"/>
  <c r="E113" i="34"/>
  <c r="H114" i="25"/>
  <c r="G114" i="25"/>
  <c r="I114" i="25" s="1"/>
  <c r="J114" i="25" s="1"/>
  <c r="D115" i="25"/>
  <c r="E115" i="25"/>
  <c r="H115" i="26"/>
  <c r="G115" i="26"/>
  <c r="I115" i="26" s="1"/>
  <c r="D116" i="26"/>
  <c r="E116" i="26"/>
  <c r="J112" i="38"/>
  <c r="J112" i="35" l="1"/>
  <c r="F114" i="38"/>
  <c r="J116" i="24"/>
  <c r="J118" i="18"/>
  <c r="J119" i="4"/>
  <c r="G114" i="29"/>
  <c r="I114" i="29" s="1"/>
  <c r="J114" i="29" s="1"/>
  <c r="D115" i="29"/>
  <c r="E115" i="29"/>
  <c r="B116" i="22"/>
  <c r="F116" i="22"/>
  <c r="J115" i="26"/>
  <c r="J115" i="22"/>
  <c r="J118" i="19"/>
  <c r="B120" i="3"/>
  <c r="F120" i="3"/>
  <c r="B115" i="25"/>
  <c r="F115" i="25"/>
  <c r="F116" i="27"/>
  <c r="B116" i="27"/>
  <c r="J116" i="23"/>
  <c r="H114" i="38"/>
  <c r="D115" i="38"/>
  <c r="B115" i="38" s="1"/>
  <c r="G114" i="38"/>
  <c r="I114" i="38" s="1"/>
  <c r="E115" i="38"/>
  <c r="B113" i="35"/>
  <c r="F113" i="35"/>
  <c r="F119" i="19"/>
  <c r="B119" i="19"/>
  <c r="J119" i="3"/>
  <c r="B110" i="39"/>
  <c r="F110" i="39"/>
  <c r="H110" i="39"/>
  <c r="B113" i="34"/>
  <c r="F113" i="34"/>
  <c r="J115" i="27"/>
  <c r="F117" i="21"/>
  <c r="B117" i="21"/>
  <c r="H111" i="37"/>
  <c r="D112" i="37"/>
  <c r="G111" i="37"/>
  <c r="I111" i="37" s="1"/>
  <c r="J111" i="37" s="1"/>
  <c r="E112" i="37"/>
  <c r="B113" i="31"/>
  <c r="F113" i="31"/>
  <c r="F117" i="23"/>
  <c r="H117" i="23"/>
  <c r="B116" i="26"/>
  <c r="F116" i="26"/>
  <c r="J112" i="34"/>
  <c r="B120" i="4"/>
  <c r="F120" i="4"/>
  <c r="J116" i="21"/>
  <c r="B119" i="18"/>
  <c r="F119" i="18"/>
  <c r="F117" i="24"/>
  <c r="B117" i="24"/>
  <c r="J114" i="38" l="1"/>
  <c r="F115" i="38"/>
  <c r="H113" i="35"/>
  <c r="G113" i="35"/>
  <c r="I113" i="35" s="1"/>
  <c r="J113" i="35" s="1"/>
  <c r="D114" i="35"/>
  <c r="E114" i="35"/>
  <c r="F115" i="29"/>
  <c r="H115" i="29" s="1"/>
  <c r="H119" i="19"/>
  <c r="D120" i="19"/>
  <c r="G119" i="19"/>
  <c r="I119" i="19" s="1"/>
  <c r="E120" i="19"/>
  <c r="F112" i="37"/>
  <c r="B112" i="37"/>
  <c r="H116" i="27"/>
  <c r="G116" i="27"/>
  <c r="I116" i="27" s="1"/>
  <c r="D117" i="27"/>
  <c r="E117" i="27"/>
  <c r="H119" i="18"/>
  <c r="G119" i="18"/>
  <c r="I119" i="18" s="1"/>
  <c r="J119" i="18" s="1"/>
  <c r="D120" i="18"/>
  <c r="E120" i="18"/>
  <c r="G110" i="39"/>
  <c r="I110" i="39" s="1"/>
  <c r="J110" i="39" s="1"/>
  <c r="D111" i="39"/>
  <c r="E111" i="39"/>
  <c r="H115" i="38"/>
  <c r="D116" i="38"/>
  <c r="B116" i="38" s="1"/>
  <c r="G115" i="38"/>
  <c r="I115" i="38" s="1"/>
  <c r="E116" i="38"/>
  <c r="F116" i="38" s="1"/>
  <c r="H115" i="25"/>
  <c r="D116" i="25"/>
  <c r="G115" i="25"/>
  <c r="I115" i="25" s="1"/>
  <c r="E116" i="25"/>
  <c r="H113" i="34"/>
  <c r="D114" i="34"/>
  <c r="G113" i="34"/>
  <c r="I113" i="34" s="1"/>
  <c r="E114" i="34"/>
  <c r="H116" i="26"/>
  <c r="D117" i="26"/>
  <c r="G116" i="26"/>
  <c r="I116" i="26" s="1"/>
  <c r="E117" i="26"/>
  <c r="G117" i="23"/>
  <c r="I117" i="23" s="1"/>
  <c r="D118" i="23"/>
  <c r="E118" i="23"/>
  <c r="H117" i="21"/>
  <c r="G117" i="21"/>
  <c r="I117" i="21" s="1"/>
  <c r="J117" i="21" s="1"/>
  <c r="D118" i="21"/>
  <c r="E118" i="21"/>
  <c r="H120" i="3"/>
  <c r="G120" i="3"/>
  <c r="I120" i="3" s="1"/>
  <c r="D121" i="3"/>
  <c r="E121" i="3"/>
  <c r="H120" i="4"/>
  <c r="G120" i="4"/>
  <c r="I120" i="4" s="1"/>
  <c r="J120" i="4" s="1"/>
  <c r="D121" i="4"/>
  <c r="E121" i="4"/>
  <c r="H117" i="24"/>
  <c r="D118" i="24"/>
  <c r="G117" i="24"/>
  <c r="I117" i="24" s="1"/>
  <c r="E118" i="24"/>
  <c r="H113" i="31"/>
  <c r="G113" i="31"/>
  <c r="I113" i="31" s="1"/>
  <c r="J113" i="31" s="1"/>
  <c r="D114" i="31"/>
  <c r="E114" i="31"/>
  <c r="H116" i="22"/>
  <c r="G116" i="22"/>
  <c r="I116" i="22" s="1"/>
  <c r="D117" i="22"/>
  <c r="E117" i="22"/>
  <c r="J116" i="22" l="1"/>
  <c r="J120" i="3"/>
  <c r="J116" i="26"/>
  <c r="J115" i="25"/>
  <c r="F118" i="24"/>
  <c r="B118" i="24"/>
  <c r="J117" i="23"/>
  <c r="B120" i="19"/>
  <c r="F120" i="19"/>
  <c r="B116" i="25"/>
  <c r="F116" i="25"/>
  <c r="B117" i="27"/>
  <c r="F117" i="27"/>
  <c r="F111" i="39"/>
  <c r="B111" i="39"/>
  <c r="H111" i="39"/>
  <c r="J116" i="27"/>
  <c r="G115" i="29"/>
  <c r="I115" i="29" s="1"/>
  <c r="J115" i="29" s="1"/>
  <c r="D116" i="29"/>
  <c r="E116" i="29"/>
  <c r="F114" i="31"/>
  <c r="B114" i="31"/>
  <c r="B117" i="26"/>
  <c r="F117" i="26"/>
  <c r="H116" i="38"/>
  <c r="D117" i="38"/>
  <c r="B117" i="38" s="1"/>
  <c r="G116" i="38"/>
  <c r="I116" i="38" s="1"/>
  <c r="E117" i="38"/>
  <c r="F120" i="18"/>
  <c r="B120" i="18"/>
  <c r="H112" i="37"/>
  <c r="D113" i="37"/>
  <c r="G112" i="37"/>
  <c r="I112" i="37" s="1"/>
  <c r="E113" i="37"/>
  <c r="B114" i="35"/>
  <c r="F114" i="35"/>
  <c r="F118" i="21"/>
  <c r="B118" i="21"/>
  <c r="J113" i="34"/>
  <c r="J115" i="38"/>
  <c r="F121" i="4"/>
  <c r="B121" i="4"/>
  <c r="F117" i="22"/>
  <c r="B117" i="22"/>
  <c r="J117" i="24"/>
  <c r="B121" i="3"/>
  <c r="F121" i="3"/>
  <c r="F118" i="23"/>
  <c r="H118" i="23" s="1"/>
  <c r="F114" i="34"/>
  <c r="B114" i="34"/>
  <c r="J119" i="19"/>
  <c r="H121" i="4" l="1"/>
  <c r="G121" i="4"/>
  <c r="I121" i="4" s="1"/>
  <c r="D122" i="4"/>
  <c r="B122" i="4" s="1"/>
  <c r="E122" i="4"/>
  <c r="F122" i="4" s="1"/>
  <c r="J112" i="37"/>
  <c r="H120" i="19"/>
  <c r="D121" i="19"/>
  <c r="B121" i="19" s="1"/>
  <c r="G120" i="19"/>
  <c r="I120" i="19" s="1"/>
  <c r="J120" i="19" s="1"/>
  <c r="E121" i="19"/>
  <c r="F113" i="37"/>
  <c r="B113" i="37"/>
  <c r="H117" i="26"/>
  <c r="D118" i="26"/>
  <c r="G117" i="26"/>
  <c r="I117" i="26" s="1"/>
  <c r="J117" i="26" s="1"/>
  <c r="E118" i="26"/>
  <c r="H114" i="34"/>
  <c r="D115" i="34"/>
  <c r="G114" i="34"/>
  <c r="I114" i="34" s="1"/>
  <c r="E115" i="34"/>
  <c r="H121" i="3"/>
  <c r="D122" i="3"/>
  <c r="B122" i="3" s="1"/>
  <c r="G121" i="3"/>
  <c r="I121" i="3" s="1"/>
  <c r="E122" i="3"/>
  <c r="D112" i="39"/>
  <c r="G111" i="39"/>
  <c r="I111" i="39" s="1"/>
  <c r="J111" i="39" s="1"/>
  <c r="E112" i="39"/>
  <c r="H118" i="21"/>
  <c r="G118" i="21"/>
  <c r="I118" i="21" s="1"/>
  <c r="J118" i="21" s="1"/>
  <c r="D119" i="21"/>
  <c r="E119" i="21"/>
  <c r="H120" i="18"/>
  <c r="G120" i="18"/>
  <c r="I120" i="18" s="1"/>
  <c r="J120" i="18" s="1"/>
  <c r="D121" i="18"/>
  <c r="B121" i="18" s="1"/>
  <c r="E121" i="18"/>
  <c r="H114" i="31"/>
  <c r="D115" i="31"/>
  <c r="G114" i="31"/>
  <c r="I114" i="31" s="1"/>
  <c r="J114" i="31" s="1"/>
  <c r="E115" i="31"/>
  <c r="H117" i="27"/>
  <c r="D118" i="27"/>
  <c r="G117" i="27"/>
  <c r="I117" i="27" s="1"/>
  <c r="E118" i="27"/>
  <c r="H114" i="35"/>
  <c r="G114" i="35"/>
  <c r="I114" i="35" s="1"/>
  <c r="D115" i="35"/>
  <c r="E115" i="35"/>
  <c r="F117" i="38"/>
  <c r="H118" i="24"/>
  <c r="G118" i="24"/>
  <c r="I118" i="24" s="1"/>
  <c r="D119" i="24"/>
  <c r="E119" i="24"/>
  <c r="D119" i="23"/>
  <c r="G118" i="23"/>
  <c r="I118" i="23" s="1"/>
  <c r="J118" i="23" s="1"/>
  <c r="E119" i="23"/>
  <c r="H117" i="22"/>
  <c r="G117" i="22"/>
  <c r="I117" i="22" s="1"/>
  <c r="D118" i="22"/>
  <c r="E118" i="22"/>
  <c r="J116" i="38"/>
  <c r="F116" i="29"/>
  <c r="H116" i="25"/>
  <c r="D117" i="25"/>
  <c r="G116" i="25"/>
  <c r="I116" i="25" s="1"/>
  <c r="J116" i="25" s="1"/>
  <c r="E117" i="25"/>
  <c r="J114" i="35" l="1"/>
  <c r="F121" i="18"/>
  <c r="J121" i="4"/>
  <c r="F122" i="3"/>
  <c r="H122" i="3" s="1"/>
  <c r="J121" i="3"/>
  <c r="J117" i="22"/>
  <c r="B112" i="39"/>
  <c r="F112" i="39"/>
  <c r="H112" i="39" s="1"/>
  <c r="G122" i="3"/>
  <c r="I122" i="3" s="1"/>
  <c r="E123" i="3"/>
  <c r="B115" i="35"/>
  <c r="F115" i="35"/>
  <c r="B119" i="21"/>
  <c r="F119" i="21"/>
  <c r="F118" i="26"/>
  <c r="B118" i="26"/>
  <c r="H122" i="4"/>
  <c r="D123" i="4"/>
  <c r="B123" i="4" s="1"/>
  <c r="G122" i="4"/>
  <c r="I122" i="4" s="1"/>
  <c r="J122" i="4" s="1"/>
  <c r="E123" i="4"/>
  <c r="F117" i="25"/>
  <c r="B117" i="25"/>
  <c r="H116" i="29"/>
  <c r="D117" i="29"/>
  <c r="G116" i="29"/>
  <c r="I116" i="29" s="1"/>
  <c r="E117" i="29"/>
  <c r="F115" i="31"/>
  <c r="B115" i="31"/>
  <c r="F118" i="27"/>
  <c r="B118" i="27"/>
  <c r="H117" i="38"/>
  <c r="D118" i="38"/>
  <c r="B118" i="38" s="1"/>
  <c r="G117" i="38"/>
  <c r="I117" i="38" s="1"/>
  <c r="E118" i="38"/>
  <c r="F119" i="23"/>
  <c r="F119" i="24"/>
  <c r="B119" i="24"/>
  <c r="H121" i="18"/>
  <c r="D122" i="18"/>
  <c r="B122" i="18" s="1"/>
  <c r="G121" i="18"/>
  <c r="I121" i="18" s="1"/>
  <c r="J121" i="18" s="1"/>
  <c r="E122" i="18"/>
  <c r="J114" i="34"/>
  <c r="H113" i="37"/>
  <c r="D114" i="37"/>
  <c r="G113" i="37"/>
  <c r="I113" i="37" s="1"/>
  <c r="E114" i="37"/>
  <c r="B118" i="22"/>
  <c r="F118" i="22"/>
  <c r="J118" i="24"/>
  <c r="J117" i="27"/>
  <c r="B115" i="34"/>
  <c r="F115" i="34"/>
  <c r="F121" i="19"/>
  <c r="D123" i="3" l="1"/>
  <c r="B123" i="3" s="1"/>
  <c r="F118" i="38"/>
  <c r="F123" i="3"/>
  <c r="F122" i="18"/>
  <c r="E123" i="18" s="1"/>
  <c r="J117" i="38"/>
  <c r="J122" i="3"/>
  <c r="H115" i="31"/>
  <c r="G115" i="31"/>
  <c r="I115" i="31" s="1"/>
  <c r="J115" i="31" s="1"/>
  <c r="D116" i="31"/>
  <c r="E116" i="31"/>
  <c r="H123" i="3"/>
  <c r="G123" i="3"/>
  <c r="I123" i="3" s="1"/>
  <c r="J123" i="3" s="1"/>
  <c r="D124" i="3"/>
  <c r="B124" i="3" s="1"/>
  <c r="E124" i="3"/>
  <c r="H122" i="18"/>
  <c r="G122" i="18"/>
  <c r="I122" i="18" s="1"/>
  <c r="J122" i="18" s="1"/>
  <c r="J116" i="29"/>
  <c r="H119" i="23"/>
  <c r="D120" i="23"/>
  <c r="G119" i="23"/>
  <c r="I119" i="23" s="1"/>
  <c r="E120" i="23"/>
  <c r="H118" i="26"/>
  <c r="D119" i="26"/>
  <c r="B119" i="26" s="1"/>
  <c r="G118" i="26"/>
  <c r="I118" i="26" s="1"/>
  <c r="E119" i="26"/>
  <c r="H119" i="21"/>
  <c r="D120" i="21"/>
  <c r="B120" i="21" s="1"/>
  <c r="G119" i="21"/>
  <c r="I119" i="21" s="1"/>
  <c r="E120" i="21"/>
  <c r="H121" i="19"/>
  <c r="D122" i="19"/>
  <c r="B122" i="19" s="1"/>
  <c r="G121" i="19"/>
  <c r="I121" i="19" s="1"/>
  <c r="E122" i="19"/>
  <c r="J113" i="37"/>
  <c r="H118" i="27"/>
  <c r="G118" i="27"/>
  <c r="I118" i="27" s="1"/>
  <c r="J118" i="27" s="1"/>
  <c r="D119" i="27"/>
  <c r="E119" i="27"/>
  <c r="H117" i="25"/>
  <c r="G117" i="25"/>
  <c r="I117" i="25" s="1"/>
  <c r="D118" i="25"/>
  <c r="E118" i="25"/>
  <c r="G112" i="39"/>
  <c r="I112" i="39" s="1"/>
  <c r="J112" i="39" s="1"/>
  <c r="D113" i="39"/>
  <c r="E113" i="39"/>
  <c r="H118" i="38"/>
  <c r="D119" i="38"/>
  <c r="B119" i="38" s="1"/>
  <c r="G118" i="38"/>
  <c r="I118" i="38" s="1"/>
  <c r="E119" i="38"/>
  <c r="H118" i="22"/>
  <c r="G118" i="22"/>
  <c r="I118" i="22" s="1"/>
  <c r="D119" i="22"/>
  <c r="B119" i="22" s="1"/>
  <c r="E119" i="22"/>
  <c r="F117" i="29"/>
  <c r="H117" i="29"/>
  <c r="H115" i="34"/>
  <c r="G115" i="34"/>
  <c r="I115" i="34" s="1"/>
  <c r="D116" i="34"/>
  <c r="E116" i="34"/>
  <c r="F114" i="37"/>
  <c r="B114" i="37"/>
  <c r="H119" i="24"/>
  <c r="D120" i="24"/>
  <c r="G119" i="24"/>
  <c r="I119" i="24" s="1"/>
  <c r="E120" i="24"/>
  <c r="F123" i="4"/>
  <c r="H115" i="35"/>
  <c r="G115" i="35"/>
  <c r="I115" i="35" s="1"/>
  <c r="J115" i="35" s="1"/>
  <c r="D116" i="35"/>
  <c r="E116" i="35"/>
  <c r="D123" i="18" l="1"/>
  <c r="B123" i="18" s="1"/>
  <c r="F119" i="38"/>
  <c r="F122" i="19"/>
  <c r="D123" i="19" s="1"/>
  <c r="B123" i="19" s="1"/>
  <c r="F119" i="26"/>
  <c r="G119" i="26" s="1"/>
  <c r="I119" i="26" s="1"/>
  <c r="J119" i="24"/>
  <c r="J118" i="38"/>
  <c r="J121" i="19"/>
  <c r="J118" i="26"/>
  <c r="H123" i="4"/>
  <c r="G123" i="4"/>
  <c r="I123" i="4" s="1"/>
  <c r="D124" i="4"/>
  <c r="B124" i="4" s="1"/>
  <c r="E124" i="4"/>
  <c r="H114" i="37"/>
  <c r="G114" i="37"/>
  <c r="I114" i="37" s="1"/>
  <c r="D115" i="37"/>
  <c r="E115" i="37"/>
  <c r="B113" i="39"/>
  <c r="F113" i="39"/>
  <c r="H113" i="39"/>
  <c r="J119" i="21"/>
  <c r="J119" i="23"/>
  <c r="F124" i="3"/>
  <c r="J118" i="22"/>
  <c r="F120" i="23"/>
  <c r="F118" i="25"/>
  <c r="B118" i="25"/>
  <c r="H122" i="19"/>
  <c r="G122" i="19"/>
  <c r="I122" i="19" s="1"/>
  <c r="J122" i="19" s="1"/>
  <c r="E123" i="19"/>
  <c r="D120" i="26"/>
  <c r="B120" i="26" s="1"/>
  <c r="J117" i="25"/>
  <c r="B116" i="34"/>
  <c r="F116" i="34"/>
  <c r="F116" i="31"/>
  <c r="B116" i="31"/>
  <c r="J115" i="34"/>
  <c r="B120" i="24"/>
  <c r="F120" i="24"/>
  <c r="D118" i="29"/>
  <c r="G117" i="29"/>
  <c r="I117" i="29" s="1"/>
  <c r="J117" i="29" s="1"/>
  <c r="E118" i="29"/>
  <c r="H119" i="38"/>
  <c r="D120" i="38"/>
  <c r="B120" i="38" s="1"/>
  <c r="G119" i="38"/>
  <c r="I119" i="38" s="1"/>
  <c r="J119" i="38" s="1"/>
  <c r="E120" i="38"/>
  <c r="B116" i="35"/>
  <c r="F116" i="35"/>
  <c r="F119" i="22"/>
  <c r="F119" i="27"/>
  <c r="B119" i="27"/>
  <c r="F120" i="21"/>
  <c r="H119" i="26" l="1"/>
  <c r="J114" i="37"/>
  <c r="E120" i="26"/>
  <c r="F120" i="26" s="1"/>
  <c r="F123" i="18"/>
  <c r="F120" i="38"/>
  <c r="D121" i="38" s="1"/>
  <c r="B121" i="38" s="1"/>
  <c r="F124" i="4"/>
  <c r="H124" i="4" s="1"/>
  <c r="J123" i="4"/>
  <c r="H120" i="24"/>
  <c r="G120" i="24"/>
  <c r="I120" i="24" s="1"/>
  <c r="J120" i="24" s="1"/>
  <c r="D121" i="24"/>
  <c r="B121" i="24" s="1"/>
  <c r="E121" i="24"/>
  <c r="F123" i="19"/>
  <c r="B115" i="37"/>
  <c r="F115" i="37"/>
  <c r="H124" i="3"/>
  <c r="D125" i="3"/>
  <c r="B125" i="3" s="1"/>
  <c r="G124" i="3"/>
  <c r="I124" i="3" s="1"/>
  <c r="E125" i="3"/>
  <c r="F118" i="29"/>
  <c r="H116" i="34"/>
  <c r="G116" i="34"/>
  <c r="I116" i="34" s="1"/>
  <c r="D117" i="34"/>
  <c r="B117" i="34" s="1"/>
  <c r="E117" i="34"/>
  <c r="J119" i="26"/>
  <c r="H118" i="25"/>
  <c r="G118" i="25"/>
  <c r="I118" i="25" s="1"/>
  <c r="D119" i="25"/>
  <c r="B119" i="25" s="1"/>
  <c r="E119" i="25"/>
  <c r="D114" i="39"/>
  <c r="G113" i="39"/>
  <c r="I113" i="39" s="1"/>
  <c r="J113" i="39" s="1"/>
  <c r="E114" i="39"/>
  <c r="H116" i="35"/>
  <c r="G116" i="35"/>
  <c r="I116" i="35" s="1"/>
  <c r="J116" i="35" s="1"/>
  <c r="D117" i="35"/>
  <c r="B117" i="35" s="1"/>
  <c r="E117" i="35"/>
  <c r="D121" i="23"/>
  <c r="G120" i="23"/>
  <c r="I120" i="23" s="1"/>
  <c r="E121" i="23"/>
  <c r="F121" i="23" s="1"/>
  <c r="H120" i="38"/>
  <c r="G120" i="38"/>
  <c r="I120" i="38" s="1"/>
  <c r="J120" i="38" s="1"/>
  <c r="E121" i="38"/>
  <c r="H120" i="21"/>
  <c r="D121" i="21"/>
  <c r="B121" i="21" s="1"/>
  <c r="G120" i="21"/>
  <c r="I120" i="21" s="1"/>
  <c r="J120" i="21" s="1"/>
  <c r="E121" i="21"/>
  <c r="F121" i="21" s="1"/>
  <c r="H116" i="31"/>
  <c r="D117" i="31"/>
  <c r="G116" i="31"/>
  <c r="I116" i="31" s="1"/>
  <c r="J116" i="31" s="1"/>
  <c r="E117" i="31"/>
  <c r="H119" i="27"/>
  <c r="D120" i="27"/>
  <c r="B120" i="27" s="1"/>
  <c r="G119" i="27"/>
  <c r="I119" i="27" s="1"/>
  <c r="E120" i="27"/>
  <c r="H119" i="22"/>
  <c r="D120" i="22"/>
  <c r="B120" i="22" s="1"/>
  <c r="G119" i="22"/>
  <c r="I119" i="22" s="1"/>
  <c r="J119" i="22" s="1"/>
  <c r="E120" i="22"/>
  <c r="H120" i="23"/>
  <c r="H120" i="26" l="1"/>
  <c r="G120" i="26"/>
  <c r="I120" i="26" s="1"/>
  <c r="D121" i="26"/>
  <c r="B121" i="26" s="1"/>
  <c r="E121" i="26"/>
  <c r="E125" i="4"/>
  <c r="J116" i="34"/>
  <c r="D125" i="4"/>
  <c r="B125" i="4" s="1"/>
  <c r="F121" i="24"/>
  <c r="E122" i="24" s="1"/>
  <c r="F122" i="24" s="1"/>
  <c r="H123" i="18"/>
  <c r="G123" i="18"/>
  <c r="I123" i="18" s="1"/>
  <c r="D124" i="18"/>
  <c r="E124" i="18"/>
  <c r="J124" i="3"/>
  <c r="J120" i="23"/>
  <c r="J119" i="27"/>
  <c r="G124" i="4"/>
  <c r="I124" i="4" s="1"/>
  <c r="F117" i="35"/>
  <c r="F120" i="27"/>
  <c r="F117" i="31"/>
  <c r="D118" i="31" s="1"/>
  <c r="B118" i="31" s="1"/>
  <c r="F121" i="38"/>
  <c r="H121" i="38" s="1"/>
  <c r="F125" i="3"/>
  <c r="D126" i="3" s="1"/>
  <c r="B126" i="3" s="1"/>
  <c r="F120" i="22"/>
  <c r="F121" i="26"/>
  <c r="H121" i="21"/>
  <c r="D122" i="21"/>
  <c r="B122" i="21" s="1"/>
  <c r="G121" i="21"/>
  <c r="I121" i="21" s="1"/>
  <c r="J121" i="21" s="1"/>
  <c r="E122" i="21"/>
  <c r="F122" i="21" s="1"/>
  <c r="G121" i="23"/>
  <c r="I121" i="23" s="1"/>
  <c r="D122" i="23"/>
  <c r="F125" i="4"/>
  <c r="H115" i="37"/>
  <c r="G115" i="37"/>
  <c r="I115" i="37" s="1"/>
  <c r="D116" i="37"/>
  <c r="E116" i="37"/>
  <c r="F114" i="39"/>
  <c r="H114" i="39" s="1"/>
  <c r="B114" i="39"/>
  <c r="H121" i="23"/>
  <c r="F119" i="25"/>
  <c r="J124" i="4"/>
  <c r="H123" i="19"/>
  <c r="G123" i="19"/>
  <c r="I123" i="19" s="1"/>
  <c r="D124" i="19"/>
  <c r="B124" i="19" s="1"/>
  <c r="E124" i="19"/>
  <c r="D122" i="24"/>
  <c r="B122" i="24" s="1"/>
  <c r="D119" i="29"/>
  <c r="G118" i="29"/>
  <c r="I118" i="29" s="1"/>
  <c r="E119" i="29"/>
  <c r="F119" i="29" s="1"/>
  <c r="G117" i="31"/>
  <c r="I117" i="31" s="1"/>
  <c r="E118" i="31"/>
  <c r="J118" i="25"/>
  <c r="H125" i="3"/>
  <c r="G125" i="3"/>
  <c r="I125" i="3" s="1"/>
  <c r="E126" i="3"/>
  <c r="H120" i="27"/>
  <c r="G120" i="27"/>
  <c r="I120" i="27" s="1"/>
  <c r="J120" i="27" s="1"/>
  <c r="D121" i="27"/>
  <c r="B121" i="27" s="1"/>
  <c r="E121" i="27"/>
  <c r="F121" i="27" s="1"/>
  <c r="H117" i="35"/>
  <c r="D118" i="35"/>
  <c r="B118" i="35" s="1"/>
  <c r="G117" i="35"/>
  <c r="I117" i="35" s="1"/>
  <c r="E118" i="35"/>
  <c r="B117" i="31"/>
  <c r="H117" i="31"/>
  <c r="F117" i="34"/>
  <c r="H118" i="29"/>
  <c r="F118" i="35" l="1"/>
  <c r="G121" i="24"/>
  <c r="I121" i="24" s="1"/>
  <c r="H121" i="24"/>
  <c r="B124" i="18"/>
  <c r="F124" i="18"/>
  <c r="F126" i="3"/>
  <c r="H126" i="3" s="1"/>
  <c r="J115" i="37"/>
  <c r="J123" i="18"/>
  <c r="J120" i="26"/>
  <c r="J125" i="3"/>
  <c r="J117" i="35"/>
  <c r="E122" i="38"/>
  <c r="D122" i="38"/>
  <c r="B122" i="38" s="1"/>
  <c r="G121" i="38"/>
  <c r="I121" i="38" s="1"/>
  <c r="J121" i="38" s="1"/>
  <c r="J121" i="23"/>
  <c r="J117" i="31"/>
  <c r="F124" i="19"/>
  <c r="D115" i="39"/>
  <c r="G114" i="39"/>
  <c r="I114" i="39" s="1"/>
  <c r="J114" i="39" s="1"/>
  <c r="E115" i="39"/>
  <c r="H122" i="21"/>
  <c r="G122" i="21"/>
  <c r="I122" i="21" s="1"/>
  <c r="D123" i="21"/>
  <c r="B123" i="21" s="1"/>
  <c r="E123" i="21"/>
  <c r="J118" i="29"/>
  <c r="J123" i="19"/>
  <c r="F116" i="37"/>
  <c r="B116" i="37"/>
  <c r="H118" i="35"/>
  <c r="G118" i="35"/>
  <c r="I118" i="35" s="1"/>
  <c r="D119" i="35"/>
  <c r="B119" i="35" s="1"/>
  <c r="E119" i="35"/>
  <c r="F119" i="35" s="1"/>
  <c r="D120" i="29"/>
  <c r="G119" i="29"/>
  <c r="I119" i="29" s="1"/>
  <c r="E120" i="29"/>
  <c r="H119" i="29"/>
  <c r="H122" i="24"/>
  <c r="G122" i="24"/>
  <c r="I122" i="24" s="1"/>
  <c r="D123" i="24"/>
  <c r="B123" i="24" s="1"/>
  <c r="E123" i="24"/>
  <c r="E122" i="23"/>
  <c r="F122" i="23" s="1"/>
  <c r="D127" i="3"/>
  <c r="B127" i="3" s="1"/>
  <c r="G126" i="3"/>
  <c r="I126" i="3" s="1"/>
  <c r="E127" i="3"/>
  <c r="H119" i="25"/>
  <c r="D120" i="25"/>
  <c r="B120" i="25" s="1"/>
  <c r="G119" i="25"/>
  <c r="I119" i="25" s="1"/>
  <c r="E120" i="25"/>
  <c r="H121" i="26"/>
  <c r="G121" i="26"/>
  <c r="I121" i="26" s="1"/>
  <c r="J121" i="26" s="1"/>
  <c r="D122" i="26"/>
  <c r="B122" i="26" s="1"/>
  <c r="E122" i="26"/>
  <c r="H121" i="27"/>
  <c r="D122" i="27"/>
  <c r="B122" i="27" s="1"/>
  <c r="G121" i="27"/>
  <c r="I121" i="27" s="1"/>
  <c r="E122" i="27"/>
  <c r="H117" i="34"/>
  <c r="G117" i="34"/>
  <c r="I117" i="34" s="1"/>
  <c r="D118" i="34"/>
  <c r="B118" i="34" s="1"/>
  <c r="E118" i="34"/>
  <c r="F118" i="31"/>
  <c r="J121" i="24"/>
  <c r="H125" i="4"/>
  <c r="D126" i="4"/>
  <c r="B126" i="4" s="1"/>
  <c r="G125" i="4"/>
  <c r="I125" i="4" s="1"/>
  <c r="E126" i="4"/>
  <c r="H120" i="22"/>
  <c r="G120" i="22"/>
  <c r="I120" i="22" s="1"/>
  <c r="D121" i="22"/>
  <c r="B121" i="22" s="1"/>
  <c r="E121" i="22"/>
  <c r="F121" i="22" s="1"/>
  <c r="J121" i="27" l="1"/>
  <c r="J119" i="25"/>
  <c r="G124" i="18"/>
  <c r="I124" i="18" s="1"/>
  <c r="D125" i="18"/>
  <c r="E125" i="18"/>
  <c r="J122" i="24"/>
  <c r="H124" i="18"/>
  <c r="F126" i="4"/>
  <c r="H126" i="4" s="1"/>
  <c r="J117" i="34"/>
  <c r="J119" i="29"/>
  <c r="F123" i="24"/>
  <c r="H123" i="24" s="1"/>
  <c r="F122" i="38"/>
  <c r="J120" i="22"/>
  <c r="F118" i="34"/>
  <c r="D119" i="34" s="1"/>
  <c r="B119" i="34" s="1"/>
  <c r="F122" i="26"/>
  <c r="H122" i="26" s="1"/>
  <c r="F127" i="3"/>
  <c r="G127" i="3" s="1"/>
  <c r="I127" i="3" s="1"/>
  <c r="D124" i="24"/>
  <c r="B124" i="24" s="1"/>
  <c r="G123" i="24"/>
  <c r="I123" i="24" s="1"/>
  <c r="E124" i="24"/>
  <c r="F124" i="24" s="1"/>
  <c r="F120" i="29"/>
  <c r="H120" i="29"/>
  <c r="J122" i="21"/>
  <c r="H119" i="35"/>
  <c r="D120" i="35"/>
  <c r="G119" i="35"/>
  <c r="I119" i="35" s="1"/>
  <c r="E120" i="35"/>
  <c r="F120" i="35" s="1"/>
  <c r="H122" i="38"/>
  <c r="G122" i="38"/>
  <c r="I122" i="38" s="1"/>
  <c r="D123" i="38"/>
  <c r="B123" i="38" s="1"/>
  <c r="E123" i="38"/>
  <c r="F123" i="38" s="1"/>
  <c r="H121" i="22"/>
  <c r="D122" i="22"/>
  <c r="B122" i="22" s="1"/>
  <c r="G121" i="22"/>
  <c r="I121" i="22" s="1"/>
  <c r="E122" i="22"/>
  <c r="F122" i="22" s="1"/>
  <c r="G122" i="26"/>
  <c r="I122" i="26" s="1"/>
  <c r="E123" i="26"/>
  <c r="H118" i="31"/>
  <c r="G118" i="31"/>
  <c r="I118" i="31" s="1"/>
  <c r="D119" i="31"/>
  <c r="B119" i="31" s="1"/>
  <c r="E119" i="31"/>
  <c r="H118" i="34"/>
  <c r="E119" i="34"/>
  <c r="J126" i="3"/>
  <c r="J118" i="35"/>
  <c r="B115" i="39"/>
  <c r="F115" i="39"/>
  <c r="H115" i="39" s="1"/>
  <c r="H124" i="19"/>
  <c r="D125" i="19"/>
  <c r="B125" i="19" s="1"/>
  <c r="G124" i="19"/>
  <c r="I124" i="19" s="1"/>
  <c r="E125" i="19"/>
  <c r="D123" i="23"/>
  <c r="G122" i="23"/>
  <c r="I122" i="23" s="1"/>
  <c r="J122" i="23" s="1"/>
  <c r="E123" i="23"/>
  <c r="F123" i="23" s="1"/>
  <c r="J125" i="4"/>
  <c r="F122" i="27"/>
  <c r="F120" i="25"/>
  <c r="H122" i="23"/>
  <c r="H116" i="37"/>
  <c r="G116" i="37"/>
  <c r="I116" i="37" s="1"/>
  <c r="J116" i="37" s="1"/>
  <c r="D117" i="37"/>
  <c r="B117" i="37" s="1"/>
  <c r="E117" i="37"/>
  <c r="F123" i="21"/>
  <c r="E128" i="3" l="1"/>
  <c r="D123" i="26"/>
  <c r="F123" i="26" s="1"/>
  <c r="J122" i="38"/>
  <c r="D128" i="3"/>
  <c r="B128" i="3" s="1"/>
  <c r="J123" i="24"/>
  <c r="B125" i="18"/>
  <c r="F125" i="18"/>
  <c r="D127" i="4"/>
  <c r="B127" i="4" s="1"/>
  <c r="H127" i="3"/>
  <c r="J127" i="3" s="1"/>
  <c r="J124" i="18"/>
  <c r="J118" i="31"/>
  <c r="E127" i="4"/>
  <c r="F127" i="4" s="1"/>
  <c r="G126" i="4"/>
  <c r="I126" i="4" s="1"/>
  <c r="J126" i="4" s="1"/>
  <c r="F125" i="19"/>
  <c r="G118" i="34"/>
  <c r="I118" i="34" s="1"/>
  <c r="J122" i="26"/>
  <c r="F119" i="34"/>
  <c r="H119" i="34" s="1"/>
  <c r="H122" i="27"/>
  <c r="D123" i="27"/>
  <c r="B123" i="27" s="1"/>
  <c r="G122" i="27"/>
  <c r="I122" i="27" s="1"/>
  <c r="J122" i="27" s="1"/>
  <c r="E123" i="27"/>
  <c r="H123" i="21"/>
  <c r="D124" i="21"/>
  <c r="B124" i="21" s="1"/>
  <c r="G123" i="21"/>
  <c r="I123" i="21" s="1"/>
  <c r="E124" i="21"/>
  <c r="F119" i="31"/>
  <c r="H123" i="38"/>
  <c r="D124" i="38"/>
  <c r="B124" i="38" s="1"/>
  <c r="G123" i="38"/>
  <c r="I123" i="38" s="1"/>
  <c r="J123" i="38" s="1"/>
  <c r="E124" i="38"/>
  <c r="G123" i="23"/>
  <c r="I123" i="23" s="1"/>
  <c r="D124" i="23"/>
  <c r="E124" i="23"/>
  <c r="B123" i="26"/>
  <c r="D121" i="29"/>
  <c r="G120" i="29"/>
  <c r="I120" i="29" s="1"/>
  <c r="J120" i="29" s="1"/>
  <c r="E121" i="29"/>
  <c r="F117" i="37"/>
  <c r="H123" i="23"/>
  <c r="H127" i="4"/>
  <c r="G127" i="4"/>
  <c r="I127" i="4" s="1"/>
  <c r="D128" i="4"/>
  <c r="E128" i="4"/>
  <c r="F128" i="4" s="1"/>
  <c r="H125" i="19"/>
  <c r="G125" i="19"/>
  <c r="I125" i="19" s="1"/>
  <c r="D126" i="19"/>
  <c r="B126" i="19" s="1"/>
  <c r="E126" i="19"/>
  <c r="H124" i="24"/>
  <c r="D125" i="24"/>
  <c r="B125" i="24" s="1"/>
  <c r="G124" i="24"/>
  <c r="I124" i="24" s="1"/>
  <c r="E125" i="24"/>
  <c r="J124" i="19"/>
  <c r="E120" i="34"/>
  <c r="H122" i="22"/>
  <c r="G122" i="22"/>
  <c r="I122" i="22" s="1"/>
  <c r="D123" i="22"/>
  <c r="B123" i="22" s="1"/>
  <c r="E123" i="22"/>
  <c r="F123" i="22" s="1"/>
  <c r="D121" i="35"/>
  <c r="B121" i="35" s="1"/>
  <c r="G120" i="35"/>
  <c r="I120" i="35" s="1"/>
  <c r="E121" i="35"/>
  <c r="D116" i="39"/>
  <c r="G115" i="39"/>
  <c r="I115" i="39" s="1"/>
  <c r="J115" i="39" s="1"/>
  <c r="E116" i="39"/>
  <c r="H120" i="25"/>
  <c r="D121" i="25"/>
  <c r="B121" i="25" s="1"/>
  <c r="G120" i="25"/>
  <c r="I120" i="25" s="1"/>
  <c r="E121" i="25"/>
  <c r="J118" i="34"/>
  <c r="J121" i="22"/>
  <c r="J119" i="35"/>
  <c r="B120" i="35"/>
  <c r="H120" i="35"/>
  <c r="G123" i="26" l="1"/>
  <c r="I123" i="26" s="1"/>
  <c r="D124" i="26"/>
  <c r="B124" i="26" s="1"/>
  <c r="E124" i="26"/>
  <c r="F124" i="26" s="1"/>
  <c r="E125" i="26" s="1"/>
  <c r="F125" i="26" s="1"/>
  <c r="H123" i="26"/>
  <c r="J123" i="26" s="1"/>
  <c r="G119" i="34"/>
  <c r="I119" i="34" s="1"/>
  <c r="F128" i="3"/>
  <c r="D120" i="34"/>
  <c r="B120" i="34" s="1"/>
  <c r="D126" i="18"/>
  <c r="G125" i="18"/>
  <c r="I125" i="18" s="1"/>
  <c r="E126" i="18"/>
  <c r="H125" i="18"/>
  <c r="F121" i="29"/>
  <c r="F124" i="38"/>
  <c r="F123" i="27"/>
  <c r="F120" i="34"/>
  <c r="D121" i="34" s="1"/>
  <c r="F124" i="23"/>
  <c r="J123" i="21"/>
  <c r="J120" i="25"/>
  <c r="J127" i="4"/>
  <c r="H124" i="26"/>
  <c r="G124" i="26"/>
  <c r="I124" i="26" s="1"/>
  <c r="J124" i="26" s="1"/>
  <c r="D125" i="26"/>
  <c r="B125" i="26" s="1"/>
  <c r="F124" i="21"/>
  <c r="H123" i="22"/>
  <c r="D124" i="22"/>
  <c r="B124" i="22" s="1"/>
  <c r="G123" i="22"/>
  <c r="I123" i="22" s="1"/>
  <c r="E124" i="22"/>
  <c r="F124" i="22" s="1"/>
  <c r="G120" i="34"/>
  <c r="I120" i="34" s="1"/>
  <c r="G124" i="23"/>
  <c r="I124" i="23" s="1"/>
  <c r="D125" i="23"/>
  <c r="J119" i="34"/>
  <c r="F126" i="19"/>
  <c r="H124" i="23"/>
  <c r="J122" i="22"/>
  <c r="H117" i="37"/>
  <c r="G117" i="37"/>
  <c r="I117" i="37" s="1"/>
  <c r="D118" i="37"/>
  <c r="B118" i="37" s="1"/>
  <c r="E118" i="37"/>
  <c r="J123" i="23"/>
  <c r="H119" i="31"/>
  <c r="G119" i="31"/>
  <c r="I119" i="31" s="1"/>
  <c r="D120" i="31"/>
  <c r="B120" i="31" s="1"/>
  <c r="E120" i="31"/>
  <c r="J125" i="19"/>
  <c r="G121" i="29"/>
  <c r="I121" i="29" s="1"/>
  <c r="D122" i="29"/>
  <c r="E122" i="29"/>
  <c r="H124" i="38"/>
  <c r="D125" i="38"/>
  <c r="B125" i="38" s="1"/>
  <c r="G124" i="38"/>
  <c r="I124" i="38" s="1"/>
  <c r="J124" i="38" s="1"/>
  <c r="E125" i="38"/>
  <c r="F125" i="38" s="1"/>
  <c r="H123" i="27"/>
  <c r="D124" i="27"/>
  <c r="B124" i="27" s="1"/>
  <c r="G123" i="27"/>
  <c r="I123" i="27" s="1"/>
  <c r="J123" i="27" s="1"/>
  <c r="E124" i="27"/>
  <c r="F124" i="27" s="1"/>
  <c r="F116" i="39"/>
  <c r="H116" i="39" s="1"/>
  <c r="B116" i="39"/>
  <c r="F121" i="35"/>
  <c r="F125" i="24"/>
  <c r="G128" i="4"/>
  <c r="I128" i="4" s="1"/>
  <c r="J128" i="4" s="1"/>
  <c r="D129" i="4"/>
  <c r="H121" i="29"/>
  <c r="F121" i="25"/>
  <c r="J120" i="35"/>
  <c r="J124" i="24"/>
  <c r="B128" i="4"/>
  <c r="H128" i="4"/>
  <c r="B126" i="18" l="1"/>
  <c r="H120" i="34"/>
  <c r="J119" i="31"/>
  <c r="E129" i="3"/>
  <c r="G128" i="3"/>
  <c r="I128" i="3" s="1"/>
  <c r="H128" i="3"/>
  <c r="D129" i="3"/>
  <c r="J121" i="29"/>
  <c r="F126" i="18"/>
  <c r="J117" i="37"/>
  <c r="J125" i="18"/>
  <c r="J124" i="23"/>
  <c r="F120" i="31"/>
  <c r="E121" i="31" s="1"/>
  <c r="F121" i="31" s="1"/>
  <c r="J120" i="34"/>
  <c r="F122" i="29"/>
  <c r="H122" i="29" s="1"/>
  <c r="F118" i="37"/>
  <c r="E125" i="23"/>
  <c r="F125" i="23" s="1"/>
  <c r="H125" i="23" s="1"/>
  <c r="H124" i="21"/>
  <c r="D125" i="21"/>
  <c r="B125" i="21" s="1"/>
  <c r="G124" i="21"/>
  <c r="I124" i="21" s="1"/>
  <c r="E125" i="21"/>
  <c r="E121" i="34"/>
  <c r="F121" i="34" s="1"/>
  <c r="B121" i="34"/>
  <c r="H125" i="26"/>
  <c r="G125" i="26"/>
  <c r="I125" i="26" s="1"/>
  <c r="D126" i="26"/>
  <c r="B126" i="26" s="1"/>
  <c r="E126" i="26"/>
  <c r="F126" i="26" s="1"/>
  <c r="H121" i="35"/>
  <c r="G121" i="35"/>
  <c r="I121" i="35" s="1"/>
  <c r="J121" i="35" s="1"/>
  <c r="D122" i="35"/>
  <c r="B122" i="35" s="1"/>
  <c r="E122" i="35"/>
  <c r="H124" i="27"/>
  <c r="D125" i="27"/>
  <c r="B125" i="27" s="1"/>
  <c r="G124" i="27"/>
  <c r="I124" i="27" s="1"/>
  <c r="E125" i="27"/>
  <c r="H125" i="38"/>
  <c r="G125" i="38"/>
  <c r="I125" i="38" s="1"/>
  <c r="J125" i="38" s="1"/>
  <c r="D126" i="38"/>
  <c r="B126" i="38" s="1"/>
  <c r="E126" i="38"/>
  <c r="H120" i="31"/>
  <c r="D121" i="31"/>
  <c r="B121" i="31" s="1"/>
  <c r="G120" i="31"/>
  <c r="I120" i="31" s="1"/>
  <c r="H125" i="24"/>
  <c r="D126" i="24"/>
  <c r="B126" i="24" s="1"/>
  <c r="G125" i="24"/>
  <c r="I125" i="24" s="1"/>
  <c r="E126" i="24"/>
  <c r="H121" i="25"/>
  <c r="D122" i="25"/>
  <c r="B122" i="25" s="1"/>
  <c r="G121" i="25"/>
  <c r="I121" i="25" s="1"/>
  <c r="E122" i="25"/>
  <c r="H124" i="22"/>
  <c r="D125" i="22"/>
  <c r="B125" i="22" s="1"/>
  <c r="G124" i="22"/>
  <c r="I124" i="22" s="1"/>
  <c r="E125" i="22"/>
  <c r="E129" i="4"/>
  <c r="F129" i="4" s="1"/>
  <c r="B129" i="4"/>
  <c r="D117" i="39"/>
  <c r="G116" i="39"/>
  <c r="I116" i="39" s="1"/>
  <c r="J116" i="39" s="1"/>
  <c r="E117" i="39"/>
  <c r="H126" i="19"/>
  <c r="D127" i="19"/>
  <c r="B127" i="19" s="1"/>
  <c r="G126" i="19"/>
  <c r="I126" i="19" s="1"/>
  <c r="E127" i="19"/>
  <c r="J123" i="22"/>
  <c r="J125" i="26" l="1"/>
  <c r="J128" i="3"/>
  <c r="B129" i="3"/>
  <c r="F129" i="3"/>
  <c r="F125" i="21"/>
  <c r="D127" i="18"/>
  <c r="G126" i="18"/>
  <c r="I126" i="18" s="1"/>
  <c r="J126" i="18" s="1"/>
  <c r="E127" i="18"/>
  <c r="H126" i="18"/>
  <c r="F122" i="25"/>
  <c r="F125" i="27"/>
  <c r="D126" i="27" s="1"/>
  <c r="B126" i="27" s="1"/>
  <c r="F125" i="22"/>
  <c r="G125" i="22" s="1"/>
  <c r="I125" i="22" s="1"/>
  <c r="J125" i="22" s="1"/>
  <c r="F126" i="24"/>
  <c r="J124" i="22"/>
  <c r="J125" i="24"/>
  <c r="D130" i="4"/>
  <c r="B130" i="4" s="1"/>
  <c r="G129" i="4"/>
  <c r="I129" i="4" s="1"/>
  <c r="E130" i="4"/>
  <c r="F130" i="4" s="1"/>
  <c r="H129" i="4"/>
  <c r="H126" i="24"/>
  <c r="D127" i="24"/>
  <c r="B127" i="24" s="1"/>
  <c r="G126" i="24"/>
  <c r="I126" i="24" s="1"/>
  <c r="J126" i="24" s="1"/>
  <c r="E127" i="24"/>
  <c r="F127" i="24" s="1"/>
  <c r="F126" i="38"/>
  <c r="F122" i="35"/>
  <c r="D126" i="23"/>
  <c r="G125" i="23"/>
  <c r="I125" i="23" s="1"/>
  <c r="J125" i="23" s="1"/>
  <c r="H125" i="22"/>
  <c r="E126" i="22"/>
  <c r="H121" i="34"/>
  <c r="D122" i="34"/>
  <c r="B122" i="34" s="1"/>
  <c r="G121" i="34"/>
  <c r="I121" i="34" s="1"/>
  <c r="J121" i="34" s="1"/>
  <c r="E122" i="34"/>
  <c r="F122" i="34" s="1"/>
  <c r="H118" i="37"/>
  <c r="G118" i="37"/>
  <c r="I118" i="37" s="1"/>
  <c r="D119" i="37"/>
  <c r="B119" i="37" s="1"/>
  <c r="E119" i="37"/>
  <c r="F117" i="39"/>
  <c r="B117" i="39"/>
  <c r="H117" i="39"/>
  <c r="H122" i="25"/>
  <c r="D123" i="25"/>
  <c r="B123" i="25" s="1"/>
  <c r="G122" i="25"/>
  <c r="I122" i="25" s="1"/>
  <c r="E123" i="25"/>
  <c r="H121" i="31"/>
  <c r="G121" i="31"/>
  <c r="I121" i="31" s="1"/>
  <c r="D122" i="31"/>
  <c r="B122" i="31" s="1"/>
  <c r="E122" i="31"/>
  <c r="F122" i="31" s="1"/>
  <c r="H125" i="27"/>
  <c r="G125" i="27"/>
  <c r="I125" i="27" s="1"/>
  <c r="E126" i="27"/>
  <c r="H125" i="21"/>
  <c r="D126" i="21"/>
  <c r="B126" i="21" s="1"/>
  <c r="G125" i="21"/>
  <c r="I125" i="21" s="1"/>
  <c r="J125" i="21" s="1"/>
  <c r="E126" i="21"/>
  <c r="D123" i="29"/>
  <c r="G122" i="29"/>
  <c r="I122" i="29" s="1"/>
  <c r="J122" i="29" s="1"/>
  <c r="E123" i="29"/>
  <c r="F123" i="29" s="1"/>
  <c r="F127" i="19"/>
  <c r="J120" i="31"/>
  <c r="J124" i="27"/>
  <c r="H126" i="26"/>
  <c r="G126" i="26"/>
  <c r="I126" i="26" s="1"/>
  <c r="D127" i="26"/>
  <c r="B127" i="26" s="1"/>
  <c r="E127" i="26"/>
  <c r="J124" i="21"/>
  <c r="J121" i="25"/>
  <c r="J126" i="19"/>
  <c r="B127" i="18" l="1"/>
  <c r="D126" i="22"/>
  <c r="B126" i="22" s="1"/>
  <c r="J118" i="37"/>
  <c r="G129" i="3"/>
  <c r="I129" i="3" s="1"/>
  <c r="J129" i="3" s="1"/>
  <c r="E130" i="3"/>
  <c r="D130" i="3"/>
  <c r="H129" i="3"/>
  <c r="F127" i="18"/>
  <c r="F119" i="37"/>
  <c r="J122" i="25"/>
  <c r="J126" i="26"/>
  <c r="F126" i="21"/>
  <c r="D127" i="21" s="1"/>
  <c r="B127" i="21" s="1"/>
  <c r="J125" i="27"/>
  <c r="H119" i="37"/>
  <c r="D120" i="37"/>
  <c r="B120" i="37" s="1"/>
  <c r="G119" i="37"/>
  <c r="I119" i="37" s="1"/>
  <c r="E120" i="37"/>
  <c r="F120" i="37" s="1"/>
  <c r="H127" i="24"/>
  <c r="D128" i="24"/>
  <c r="B128" i="24" s="1"/>
  <c r="G127" i="24"/>
  <c r="I127" i="24" s="1"/>
  <c r="E128" i="24"/>
  <c r="F128" i="24" s="1"/>
  <c r="F126" i="27"/>
  <c r="F123" i="25"/>
  <c r="H123" i="29"/>
  <c r="F127" i="26"/>
  <c r="H122" i="34"/>
  <c r="D123" i="34"/>
  <c r="B123" i="34" s="1"/>
  <c r="G122" i="34"/>
  <c r="I122" i="34" s="1"/>
  <c r="E123" i="34"/>
  <c r="F123" i="34" s="1"/>
  <c r="G123" i="29"/>
  <c r="I123" i="29" s="1"/>
  <c r="D124" i="29"/>
  <c r="E126" i="23"/>
  <c r="F126" i="23" s="1"/>
  <c r="H126" i="23" s="1"/>
  <c r="H130" i="4"/>
  <c r="D131" i="4"/>
  <c r="B131" i="4" s="1"/>
  <c r="G130" i="4"/>
  <c r="I130" i="4" s="1"/>
  <c r="E131" i="4"/>
  <c r="H122" i="35"/>
  <c r="D123" i="35"/>
  <c r="B123" i="35" s="1"/>
  <c r="G122" i="35"/>
  <c r="I122" i="35" s="1"/>
  <c r="E123" i="35"/>
  <c r="J129" i="4"/>
  <c r="H126" i="21"/>
  <c r="E127" i="21"/>
  <c r="H122" i="31"/>
  <c r="D123" i="31"/>
  <c r="B123" i="31" s="1"/>
  <c r="G122" i="31"/>
  <c r="I122" i="31" s="1"/>
  <c r="E123" i="31"/>
  <c r="F123" i="31" s="1"/>
  <c r="H127" i="19"/>
  <c r="D128" i="19"/>
  <c r="B128" i="19" s="1"/>
  <c r="G127" i="19"/>
  <c r="I127" i="19" s="1"/>
  <c r="E128" i="19"/>
  <c r="J121" i="31"/>
  <c r="D118" i="39"/>
  <c r="G117" i="39"/>
  <c r="I117" i="39" s="1"/>
  <c r="J117" i="39" s="1"/>
  <c r="H126" i="38"/>
  <c r="G126" i="38"/>
  <c r="I126" i="38" s="1"/>
  <c r="D127" i="38"/>
  <c r="B127" i="38" s="1"/>
  <c r="E127" i="38"/>
  <c r="G127" i="18" l="1"/>
  <c r="I127" i="18" s="1"/>
  <c r="D128" i="18"/>
  <c r="E128" i="18"/>
  <c r="G126" i="21"/>
  <c r="I126" i="21" s="1"/>
  <c r="B130" i="3"/>
  <c r="F130" i="3"/>
  <c r="H130" i="3"/>
  <c r="J122" i="35"/>
  <c r="J122" i="31"/>
  <c r="H127" i="18"/>
  <c r="F126" i="22"/>
  <c r="J123" i="29"/>
  <c r="F127" i="38"/>
  <c r="J122" i="34"/>
  <c r="J127" i="24"/>
  <c r="J119" i="37"/>
  <c r="J126" i="38"/>
  <c r="J130" i="4"/>
  <c r="J126" i="21"/>
  <c r="F123" i="35"/>
  <c r="H127" i="26"/>
  <c r="G127" i="26"/>
  <c r="I127" i="26" s="1"/>
  <c r="J127" i="26" s="1"/>
  <c r="D128" i="26"/>
  <c r="B128" i="26" s="1"/>
  <c r="E128" i="26"/>
  <c r="F128" i="26" s="1"/>
  <c r="G126" i="23"/>
  <c r="I126" i="23" s="1"/>
  <c r="J126" i="23" s="1"/>
  <c r="D127" i="23"/>
  <c r="E127" i="23" s="1"/>
  <c r="F127" i="23" s="1"/>
  <c r="E124" i="29"/>
  <c r="F124" i="29" s="1"/>
  <c r="H124" i="29" s="1"/>
  <c r="H123" i="25"/>
  <c r="G123" i="25"/>
  <c r="I123" i="25" s="1"/>
  <c r="D124" i="25"/>
  <c r="B124" i="25" s="1"/>
  <c r="E124" i="25"/>
  <c r="H126" i="27"/>
  <c r="D127" i="27"/>
  <c r="B127" i="27" s="1"/>
  <c r="G126" i="27"/>
  <c r="I126" i="27" s="1"/>
  <c r="E127" i="27"/>
  <c r="E118" i="39"/>
  <c r="F118" i="39"/>
  <c r="H118" i="39" s="1"/>
  <c r="B118" i="39"/>
  <c r="H123" i="31"/>
  <c r="D124" i="31"/>
  <c r="G123" i="31"/>
  <c r="I123" i="31" s="1"/>
  <c r="F131" i="4"/>
  <c r="H123" i="34"/>
  <c r="D124" i="34"/>
  <c r="B124" i="34" s="1"/>
  <c r="G123" i="34"/>
  <c r="I123" i="34" s="1"/>
  <c r="J123" i="34" s="1"/>
  <c r="E124" i="34"/>
  <c r="H128" i="24"/>
  <c r="D129" i="24"/>
  <c r="B129" i="24" s="1"/>
  <c r="G128" i="24"/>
  <c r="I128" i="24" s="1"/>
  <c r="E129" i="24"/>
  <c r="H120" i="37"/>
  <c r="G120" i="37"/>
  <c r="I120" i="37" s="1"/>
  <c r="J120" i="37" s="1"/>
  <c r="D121" i="37"/>
  <c r="B121" i="37" s="1"/>
  <c r="E121" i="37"/>
  <c r="H127" i="38"/>
  <c r="G127" i="38"/>
  <c r="I127" i="38" s="1"/>
  <c r="D128" i="38"/>
  <c r="B128" i="38" s="1"/>
  <c r="E128" i="38"/>
  <c r="F128" i="19"/>
  <c r="J127" i="19"/>
  <c r="F127" i="21"/>
  <c r="D131" i="3" l="1"/>
  <c r="G130" i="3"/>
  <c r="I130" i="3" s="1"/>
  <c r="J130" i="3" s="1"/>
  <c r="E131" i="3"/>
  <c r="E127" i="22"/>
  <c r="H126" i="22"/>
  <c r="D127" i="22"/>
  <c r="G126" i="22"/>
  <c r="I126" i="22" s="1"/>
  <c r="J126" i="22" s="1"/>
  <c r="F128" i="18"/>
  <c r="B128" i="18"/>
  <c r="J127" i="18"/>
  <c r="F121" i="37"/>
  <c r="G121" i="37" s="1"/>
  <c r="I121" i="37" s="1"/>
  <c r="F124" i="34"/>
  <c r="H124" i="34" s="1"/>
  <c r="F128" i="38"/>
  <c r="J127" i="38"/>
  <c r="F124" i="25"/>
  <c r="E124" i="31"/>
  <c r="F124" i="31" s="1"/>
  <c r="B124" i="31"/>
  <c r="H121" i="37"/>
  <c r="D122" i="37"/>
  <c r="E122" i="37"/>
  <c r="H128" i="26"/>
  <c r="D129" i="26"/>
  <c r="B129" i="26" s="1"/>
  <c r="G128" i="26"/>
  <c r="I128" i="26" s="1"/>
  <c r="E129" i="26"/>
  <c r="J123" i="25"/>
  <c r="H127" i="21"/>
  <c r="D128" i="21"/>
  <c r="B128" i="21" s="1"/>
  <c r="G127" i="21"/>
  <c r="I127" i="21" s="1"/>
  <c r="J127" i="21" s="1"/>
  <c r="E128" i="21"/>
  <c r="D119" i="39"/>
  <c r="G118" i="39"/>
  <c r="I118" i="39" s="1"/>
  <c r="J118" i="39" s="1"/>
  <c r="H128" i="19"/>
  <c r="D129" i="19"/>
  <c r="B129" i="19" s="1"/>
  <c r="G128" i="19"/>
  <c r="I128" i="19" s="1"/>
  <c r="E129" i="19"/>
  <c r="H128" i="38"/>
  <c r="D129" i="38"/>
  <c r="B129" i="38" s="1"/>
  <c r="G128" i="38"/>
  <c r="I128" i="38" s="1"/>
  <c r="E129" i="38"/>
  <c r="F129" i="38" s="1"/>
  <c r="F129" i="24"/>
  <c r="H131" i="4"/>
  <c r="G131" i="4"/>
  <c r="I131" i="4" s="1"/>
  <c r="D132" i="4"/>
  <c r="B132" i="4" s="1"/>
  <c r="E132" i="4"/>
  <c r="F127" i="27"/>
  <c r="G124" i="29"/>
  <c r="I124" i="29" s="1"/>
  <c r="J124" i="29" s="1"/>
  <c r="D125" i="29"/>
  <c r="E125" i="29"/>
  <c r="H123" i="35"/>
  <c r="G123" i="35"/>
  <c r="I123" i="35" s="1"/>
  <c r="J123" i="35" s="1"/>
  <c r="D124" i="35"/>
  <c r="B124" i="35" s="1"/>
  <c r="E124" i="35"/>
  <c r="J128" i="24"/>
  <c r="J123" i="31"/>
  <c r="J126" i="27"/>
  <c r="H127" i="23"/>
  <c r="G127" i="23"/>
  <c r="I127" i="23" s="1"/>
  <c r="D128" i="23"/>
  <c r="E128" i="23"/>
  <c r="F14" i="2"/>
  <c r="E19" i="2" s="1"/>
  <c r="F19" i="2" s="1"/>
  <c r="F20" i="2" s="1"/>
  <c r="F129" i="26" l="1"/>
  <c r="E129" i="18"/>
  <c r="F129" i="18" s="1"/>
  <c r="D129" i="18"/>
  <c r="G128" i="18"/>
  <c r="I128" i="18" s="1"/>
  <c r="J128" i="26"/>
  <c r="B127" i="22"/>
  <c r="F127" i="22"/>
  <c r="H127" i="22" s="1"/>
  <c r="E125" i="34"/>
  <c r="F132" i="4"/>
  <c r="D125" i="34"/>
  <c r="B125" i="34" s="1"/>
  <c r="F131" i="3"/>
  <c r="F129" i="19"/>
  <c r="G124" i="34"/>
  <c r="I124" i="34" s="1"/>
  <c r="H128" i="18"/>
  <c r="J131" i="4"/>
  <c r="B131" i="3"/>
  <c r="H131" i="3"/>
  <c r="J124" i="34"/>
  <c r="J121" i="37"/>
  <c r="J128" i="38"/>
  <c r="J127" i="23"/>
  <c r="F125" i="34"/>
  <c r="H125" i="34" s="1"/>
  <c r="F122" i="37"/>
  <c r="F128" i="23"/>
  <c r="H129" i="24"/>
  <c r="G129" i="24"/>
  <c r="I129" i="24" s="1"/>
  <c r="J129" i="24" s="1"/>
  <c r="D130" i="24"/>
  <c r="B130" i="24" s="1"/>
  <c r="E130" i="24"/>
  <c r="H129" i="26"/>
  <c r="D130" i="26"/>
  <c r="B130" i="26" s="1"/>
  <c r="G129" i="26"/>
  <c r="I129" i="26" s="1"/>
  <c r="E130" i="26"/>
  <c r="H124" i="31"/>
  <c r="G124" i="31"/>
  <c r="I124" i="31" s="1"/>
  <c r="J124" i="31" s="1"/>
  <c r="D125" i="31"/>
  <c r="B125" i="31" s="1"/>
  <c r="E125" i="31"/>
  <c r="E119" i="39"/>
  <c r="F119" i="39" s="1"/>
  <c r="H119" i="39" s="1"/>
  <c r="B119" i="39"/>
  <c r="H127" i="27"/>
  <c r="D128" i="27"/>
  <c r="B128" i="27" s="1"/>
  <c r="G127" i="27"/>
  <c r="I127" i="27" s="1"/>
  <c r="E128" i="27"/>
  <c r="F128" i="21"/>
  <c r="H129" i="38"/>
  <c r="D130" i="38"/>
  <c r="B130" i="38" s="1"/>
  <c r="G129" i="38"/>
  <c r="I129" i="38" s="1"/>
  <c r="D123" i="37"/>
  <c r="B123" i="37" s="1"/>
  <c r="G122" i="37"/>
  <c r="I122" i="37" s="1"/>
  <c r="E123" i="37"/>
  <c r="B122" i="37"/>
  <c r="H122" i="37"/>
  <c r="F124" i="35"/>
  <c r="H132" i="4"/>
  <c r="D133" i="4"/>
  <c r="B133" i="4" s="1"/>
  <c r="G132" i="4"/>
  <c r="I132" i="4" s="1"/>
  <c r="F125" i="29"/>
  <c r="H125" i="29" s="1"/>
  <c r="J128" i="19"/>
  <c r="H129" i="19"/>
  <c r="G129" i="19"/>
  <c r="I129" i="19" s="1"/>
  <c r="D130" i="19"/>
  <c r="B130" i="19" s="1"/>
  <c r="E130" i="19"/>
  <c r="H124" i="25"/>
  <c r="G124" i="25"/>
  <c r="I124" i="25" s="1"/>
  <c r="D125" i="25"/>
  <c r="B125" i="25" s="1"/>
  <c r="E125" i="25"/>
  <c r="E25" i="2"/>
  <c r="E26" i="2" s="1"/>
  <c r="E32" i="2"/>
  <c r="J128" i="18" l="1"/>
  <c r="G127" i="22"/>
  <c r="I127" i="22" s="1"/>
  <c r="J127" i="22" s="1"/>
  <c r="D128" i="22"/>
  <c r="E128" i="22"/>
  <c r="F128" i="22" s="1"/>
  <c r="G131" i="3"/>
  <c r="I131" i="3" s="1"/>
  <c r="J131" i="3" s="1"/>
  <c r="D132" i="3"/>
  <c r="E132" i="3"/>
  <c r="B129" i="18"/>
  <c r="H129" i="18"/>
  <c r="G129" i="18"/>
  <c r="I129" i="18" s="1"/>
  <c r="J129" i="18" s="1"/>
  <c r="D130" i="18"/>
  <c r="E130" i="18"/>
  <c r="J122" i="37"/>
  <c r="J124" i="25"/>
  <c r="D126" i="34"/>
  <c r="B126" i="34" s="1"/>
  <c r="E126" i="34"/>
  <c r="G125" i="34"/>
  <c r="I125" i="34" s="1"/>
  <c r="J125" i="34" s="1"/>
  <c r="F130" i="26"/>
  <c r="F125" i="25"/>
  <c r="H125" i="25" s="1"/>
  <c r="E133" i="4"/>
  <c r="F133" i="4" s="1"/>
  <c r="J127" i="27"/>
  <c r="F130" i="19"/>
  <c r="J132" i="4"/>
  <c r="F125" i="31"/>
  <c r="F130" i="24"/>
  <c r="J129" i="19"/>
  <c r="E126" i="25"/>
  <c r="H124" i="35"/>
  <c r="G124" i="35"/>
  <c r="I124" i="35" s="1"/>
  <c r="D125" i="35"/>
  <c r="B125" i="35" s="1"/>
  <c r="E125" i="35"/>
  <c r="G119" i="39"/>
  <c r="I119" i="39" s="1"/>
  <c r="J119" i="39" s="1"/>
  <c r="D120" i="39"/>
  <c r="E120" i="39"/>
  <c r="H130" i="26"/>
  <c r="D131" i="26"/>
  <c r="B131" i="26" s="1"/>
  <c r="G130" i="26"/>
  <c r="I130" i="26" s="1"/>
  <c r="H128" i="23"/>
  <c r="G128" i="23"/>
  <c r="I128" i="23" s="1"/>
  <c r="D129" i="23"/>
  <c r="E129" i="23"/>
  <c r="E130" i="38"/>
  <c r="F130" i="38" s="1"/>
  <c r="H128" i="21"/>
  <c r="G128" i="21"/>
  <c r="I128" i="21" s="1"/>
  <c r="D129" i="21"/>
  <c r="B129" i="21" s="1"/>
  <c r="E129" i="21"/>
  <c r="J129" i="26"/>
  <c r="G125" i="29"/>
  <c r="I125" i="29" s="1"/>
  <c r="J125" i="29" s="1"/>
  <c r="D126" i="29"/>
  <c r="E126" i="29"/>
  <c r="F123" i="37"/>
  <c r="J129" i="38"/>
  <c r="F128" i="27"/>
  <c r="F53" i="2"/>
  <c r="E30" i="2"/>
  <c r="E33" i="2" s="1"/>
  <c r="F126" i="34" l="1"/>
  <c r="B132" i="3"/>
  <c r="F132" i="3"/>
  <c r="G128" i="22"/>
  <c r="I128" i="22" s="1"/>
  <c r="J128" i="22" s="1"/>
  <c r="D129" i="22"/>
  <c r="E129" i="22"/>
  <c r="F129" i="22" s="1"/>
  <c r="F130" i="18"/>
  <c r="B130" i="18"/>
  <c r="B128" i="22"/>
  <c r="H128" i="22"/>
  <c r="F129" i="21"/>
  <c r="F126" i="29"/>
  <c r="H126" i="29" s="1"/>
  <c r="D126" i="25"/>
  <c r="B126" i="25" s="1"/>
  <c r="F126" i="25"/>
  <c r="D127" i="25" s="1"/>
  <c r="B127" i="25" s="1"/>
  <c r="G125" i="25"/>
  <c r="I125" i="25" s="1"/>
  <c r="J125" i="25" s="1"/>
  <c r="J128" i="23"/>
  <c r="F125" i="35"/>
  <c r="G126" i="29"/>
  <c r="I126" i="29" s="1"/>
  <c r="D127" i="29"/>
  <c r="E127" i="29"/>
  <c r="H130" i="19"/>
  <c r="D131" i="19"/>
  <c r="B131" i="19" s="1"/>
  <c r="G130" i="19"/>
  <c r="I130" i="19" s="1"/>
  <c r="E131" i="19"/>
  <c r="F129" i="23"/>
  <c r="F120" i="39"/>
  <c r="H120" i="39" s="1"/>
  <c r="H133" i="4"/>
  <c r="G133" i="4"/>
  <c r="I133" i="4" s="1"/>
  <c r="D134" i="4"/>
  <c r="B134" i="4" s="1"/>
  <c r="E134" i="4"/>
  <c r="F134" i="4" s="1"/>
  <c r="B120" i="39"/>
  <c r="E127" i="25"/>
  <c r="H129" i="21"/>
  <c r="D130" i="21"/>
  <c r="B130" i="21" s="1"/>
  <c r="G129" i="21"/>
  <c r="I129" i="21" s="1"/>
  <c r="E130" i="21"/>
  <c r="H125" i="35"/>
  <c r="D126" i="35"/>
  <c r="B126" i="35" s="1"/>
  <c r="G125" i="35"/>
  <c r="I125" i="35" s="1"/>
  <c r="E126" i="35"/>
  <c r="H130" i="38"/>
  <c r="G130" i="38"/>
  <c r="I130" i="38" s="1"/>
  <c r="J130" i="38" s="1"/>
  <c r="D131" i="38"/>
  <c r="B131" i="38" s="1"/>
  <c r="H128" i="27"/>
  <c r="G128" i="27"/>
  <c r="I128" i="27" s="1"/>
  <c r="D129" i="27"/>
  <c r="B129" i="27" s="1"/>
  <c r="E129" i="27"/>
  <c r="H123" i="37"/>
  <c r="D124" i="37"/>
  <c r="B124" i="37" s="1"/>
  <c r="G123" i="37"/>
  <c r="I123" i="37" s="1"/>
  <c r="E124" i="37"/>
  <c r="E131" i="26"/>
  <c r="F131" i="26" s="1"/>
  <c r="H130" i="24"/>
  <c r="D131" i="24"/>
  <c r="B131" i="24" s="1"/>
  <c r="G130" i="24"/>
  <c r="I130" i="24" s="1"/>
  <c r="E131" i="24"/>
  <c r="J128" i="21"/>
  <c r="J130" i="26"/>
  <c r="J124" i="35"/>
  <c r="H125" i="31"/>
  <c r="G125" i="31"/>
  <c r="I125" i="31" s="1"/>
  <c r="D126" i="31"/>
  <c r="B126" i="31" s="1"/>
  <c r="E126" i="31"/>
  <c r="D131" i="18" l="1"/>
  <c r="G130" i="18"/>
  <c r="I130" i="18" s="1"/>
  <c r="E131" i="18"/>
  <c r="G126" i="25"/>
  <c r="I126" i="25" s="1"/>
  <c r="J126" i="25" s="1"/>
  <c r="G129" i="22"/>
  <c r="I129" i="22" s="1"/>
  <c r="J129" i="22" s="1"/>
  <c r="D130" i="22"/>
  <c r="E130" i="22"/>
  <c r="F130" i="22" s="1"/>
  <c r="B129" i="22"/>
  <c r="H129" i="22"/>
  <c r="J123" i="37"/>
  <c r="H126" i="25"/>
  <c r="G132" i="3"/>
  <c r="I132" i="3" s="1"/>
  <c r="D133" i="3"/>
  <c r="E133" i="3"/>
  <c r="F133" i="3" s="1"/>
  <c r="H132" i="3"/>
  <c r="F129" i="27"/>
  <c r="G129" i="27" s="1"/>
  <c r="I129" i="27" s="1"/>
  <c r="H130" i="18"/>
  <c r="H126" i="34"/>
  <c r="D127" i="34"/>
  <c r="G126" i="34"/>
  <c r="I126" i="34" s="1"/>
  <c r="J126" i="34" s="1"/>
  <c r="E127" i="34"/>
  <c r="F127" i="34" s="1"/>
  <c r="J125" i="31"/>
  <c r="J130" i="19"/>
  <c r="J128" i="27"/>
  <c r="F130" i="21"/>
  <c r="J129" i="21"/>
  <c r="J126" i="29"/>
  <c r="F131" i="24"/>
  <c r="H131" i="26"/>
  <c r="D132" i="26"/>
  <c r="G131" i="26"/>
  <c r="I131" i="26" s="1"/>
  <c r="J131" i="26" s="1"/>
  <c r="F126" i="31"/>
  <c r="J130" i="24"/>
  <c r="F124" i="37"/>
  <c r="E131" i="38"/>
  <c r="F131" i="38" s="1"/>
  <c r="H130" i="21"/>
  <c r="D131" i="21"/>
  <c r="B131" i="21" s="1"/>
  <c r="G130" i="21"/>
  <c r="I130" i="21" s="1"/>
  <c r="J130" i="21" s="1"/>
  <c r="F127" i="25"/>
  <c r="H134" i="4"/>
  <c r="G134" i="4"/>
  <c r="I134" i="4" s="1"/>
  <c r="D135" i="4"/>
  <c r="B135" i="4" s="1"/>
  <c r="D121" i="39"/>
  <c r="G120" i="39"/>
  <c r="I120" i="39" s="1"/>
  <c r="J120" i="39" s="1"/>
  <c r="E121" i="39"/>
  <c r="F127" i="29"/>
  <c r="E130" i="27"/>
  <c r="F126" i="35"/>
  <c r="H129" i="23"/>
  <c r="D130" i="23"/>
  <c r="G129" i="23"/>
  <c r="I129" i="23" s="1"/>
  <c r="J129" i="23" s="1"/>
  <c r="E130" i="23"/>
  <c r="J125" i="35"/>
  <c r="J133" i="4"/>
  <c r="F131" i="19"/>
  <c r="G130" i="22" l="1"/>
  <c r="I130" i="22" s="1"/>
  <c r="D131" i="22"/>
  <c r="E131" i="22" s="1"/>
  <c r="F131" i="22" s="1"/>
  <c r="D134" i="3"/>
  <c r="G133" i="3"/>
  <c r="I133" i="3" s="1"/>
  <c r="E134" i="3"/>
  <c r="F134" i="3" s="1"/>
  <c r="B130" i="22"/>
  <c r="H130" i="22"/>
  <c r="G127" i="34"/>
  <c r="I127" i="34" s="1"/>
  <c r="E128" i="34"/>
  <c r="F128" i="34" s="1"/>
  <c r="D128" i="34"/>
  <c r="B133" i="3"/>
  <c r="H133" i="3"/>
  <c r="D130" i="27"/>
  <c r="B130" i="27" s="1"/>
  <c r="J132" i="3"/>
  <c r="B127" i="34"/>
  <c r="H127" i="34"/>
  <c r="J134" i="4"/>
  <c r="H129" i="27"/>
  <c r="J129" i="27" s="1"/>
  <c r="J130" i="18"/>
  <c r="B131" i="18"/>
  <c r="H131" i="18"/>
  <c r="F131" i="18"/>
  <c r="F130" i="23"/>
  <c r="E131" i="21"/>
  <c r="F131" i="21" s="1"/>
  <c r="H126" i="35"/>
  <c r="D127" i="35"/>
  <c r="B127" i="35" s="1"/>
  <c r="G126" i="35"/>
  <c r="I126" i="35" s="1"/>
  <c r="E127" i="35"/>
  <c r="B121" i="39"/>
  <c r="E135" i="4"/>
  <c r="F135" i="4" s="1"/>
  <c r="H131" i="38"/>
  <c r="D132" i="38"/>
  <c r="B132" i="38" s="1"/>
  <c r="G131" i="38"/>
  <c r="I131" i="38" s="1"/>
  <c r="J131" i="38" s="1"/>
  <c r="J156" i="38" s="1"/>
  <c r="E132" i="38"/>
  <c r="F132" i="38" s="1"/>
  <c r="H130" i="23"/>
  <c r="G130" i="23"/>
  <c r="I130" i="23" s="1"/>
  <c r="D131" i="23"/>
  <c r="E131" i="23"/>
  <c r="F131" i="23" s="1"/>
  <c r="H124" i="37"/>
  <c r="G124" i="37"/>
  <c r="I124" i="37" s="1"/>
  <c r="J124" i="37" s="1"/>
  <c r="D125" i="37"/>
  <c r="B125" i="37" s="1"/>
  <c r="E125" i="37"/>
  <c r="F125" i="37" s="1"/>
  <c r="E132" i="26"/>
  <c r="F132" i="26" s="1"/>
  <c r="H132" i="26" s="1"/>
  <c r="B132" i="26"/>
  <c r="H131" i="19"/>
  <c r="D132" i="19"/>
  <c r="B132" i="19" s="1"/>
  <c r="G131" i="19"/>
  <c r="I131" i="19" s="1"/>
  <c r="J131" i="19" s="1"/>
  <c r="E132" i="19"/>
  <c r="F132" i="19" s="1"/>
  <c r="H127" i="29"/>
  <c r="D128" i="29"/>
  <c r="G127" i="29"/>
  <c r="I127" i="29" s="1"/>
  <c r="E128" i="29"/>
  <c r="F128" i="29" s="1"/>
  <c r="F121" i="39"/>
  <c r="H127" i="25"/>
  <c r="G127" i="25"/>
  <c r="I127" i="25" s="1"/>
  <c r="D128" i="25"/>
  <c r="E128" i="25"/>
  <c r="H126" i="31"/>
  <c r="G126" i="31"/>
  <c r="I126" i="31" s="1"/>
  <c r="J126" i="31" s="1"/>
  <c r="D127" i="31"/>
  <c r="B127" i="31" s="1"/>
  <c r="E127" i="31"/>
  <c r="H131" i="24"/>
  <c r="G131" i="24"/>
  <c r="I131" i="24" s="1"/>
  <c r="D132" i="24"/>
  <c r="B132" i="24" s="1"/>
  <c r="D132" i="22" l="1"/>
  <c r="E132" i="22"/>
  <c r="F132" i="22" s="1"/>
  <c r="G131" i="22"/>
  <c r="I131" i="22" s="1"/>
  <c r="D132" i="18"/>
  <c r="G131" i="18"/>
  <c r="I131" i="18" s="1"/>
  <c r="J131" i="18" s="1"/>
  <c r="E132" i="18"/>
  <c r="F132" i="18" s="1"/>
  <c r="D135" i="3"/>
  <c r="G134" i="3"/>
  <c r="I134" i="3" s="1"/>
  <c r="J127" i="25"/>
  <c r="J133" i="3"/>
  <c r="B134" i="3"/>
  <c r="H134" i="3"/>
  <c r="F127" i="31"/>
  <c r="D128" i="31" s="1"/>
  <c r="B128" i="31" s="1"/>
  <c r="H130" i="27"/>
  <c r="B128" i="34"/>
  <c r="H128" i="34"/>
  <c r="E129" i="34"/>
  <c r="D129" i="34"/>
  <c r="G128" i="34"/>
  <c r="I128" i="34" s="1"/>
  <c r="J128" i="34" s="1"/>
  <c r="B131" i="22"/>
  <c r="H131" i="22"/>
  <c r="J127" i="34"/>
  <c r="J130" i="22"/>
  <c r="J127" i="29"/>
  <c r="J130" i="23"/>
  <c r="F130" i="27"/>
  <c r="J131" i="24"/>
  <c r="H125" i="37"/>
  <c r="D126" i="37"/>
  <c r="B126" i="37" s="1"/>
  <c r="G125" i="37"/>
  <c r="I125" i="37" s="1"/>
  <c r="E126" i="37"/>
  <c r="H135" i="4"/>
  <c r="D136" i="4"/>
  <c r="B136" i="4" s="1"/>
  <c r="G135" i="4"/>
  <c r="I135" i="4" s="1"/>
  <c r="J135" i="4" s="1"/>
  <c r="J126" i="35"/>
  <c r="H127" i="31"/>
  <c r="H131" i="23"/>
  <c r="G131" i="23"/>
  <c r="I131" i="23" s="1"/>
  <c r="J131" i="23" s="1"/>
  <c r="D132" i="23"/>
  <c r="E132" i="23" s="1"/>
  <c r="F132" i="23" s="1"/>
  <c r="H132" i="38"/>
  <c r="G132" i="38"/>
  <c r="I132" i="38" s="1"/>
  <c r="D133" i="38"/>
  <c r="B133" i="38" s="1"/>
  <c r="B128" i="25"/>
  <c r="G121" i="39"/>
  <c r="I121" i="39" s="1"/>
  <c r="J121" i="39" s="1"/>
  <c r="D122" i="39"/>
  <c r="E122" i="39"/>
  <c r="H128" i="29"/>
  <c r="G128" i="29"/>
  <c r="I128" i="29" s="1"/>
  <c r="D129" i="29"/>
  <c r="E129" i="29"/>
  <c r="H121" i="39"/>
  <c r="G132" i="26"/>
  <c r="I132" i="26" s="1"/>
  <c r="J132" i="26" s="1"/>
  <c r="D133" i="26"/>
  <c r="H132" i="19"/>
  <c r="D133" i="19"/>
  <c r="B133" i="19" s="1"/>
  <c r="G132" i="19"/>
  <c r="I132" i="19" s="1"/>
  <c r="E132" i="24"/>
  <c r="F132" i="24" s="1"/>
  <c r="F128" i="25"/>
  <c r="F127" i="35"/>
  <c r="H131" i="21"/>
  <c r="G131" i="21"/>
  <c r="I131" i="21" s="1"/>
  <c r="D132" i="21"/>
  <c r="B132" i="21" s="1"/>
  <c r="E136" i="4" l="1"/>
  <c r="F136" i="4" s="1"/>
  <c r="J125" i="37"/>
  <c r="J134" i="3"/>
  <c r="B135" i="3"/>
  <c r="G132" i="18"/>
  <c r="I132" i="18" s="1"/>
  <c r="J132" i="18" s="1"/>
  <c r="D133" i="18"/>
  <c r="B132" i="18"/>
  <c r="H132" i="18"/>
  <c r="E128" i="31"/>
  <c r="F128" i="31" s="1"/>
  <c r="G127" i="31"/>
  <c r="I127" i="31" s="1"/>
  <c r="G130" i="27"/>
  <c r="I130" i="27" s="1"/>
  <c r="J130" i="27" s="1"/>
  <c r="D131" i="27"/>
  <c r="B129" i="34"/>
  <c r="H129" i="34"/>
  <c r="J131" i="22"/>
  <c r="F129" i="34"/>
  <c r="D133" i="22"/>
  <c r="G132" i="22"/>
  <c r="I132" i="22" s="1"/>
  <c r="J132" i="22" s="1"/>
  <c r="E133" i="22"/>
  <c r="F133" i="22" s="1"/>
  <c r="F126" i="37"/>
  <c r="E127" i="37" s="1"/>
  <c r="E135" i="3"/>
  <c r="F135" i="3" s="1"/>
  <c r="B132" i="22"/>
  <c r="H132" i="22"/>
  <c r="F122" i="39"/>
  <c r="E133" i="38"/>
  <c r="F133" i="38" s="1"/>
  <c r="E133" i="19"/>
  <c r="F133" i="19" s="1"/>
  <c r="D134" i="19" s="1"/>
  <c r="H132" i="23"/>
  <c r="G132" i="23"/>
  <c r="I132" i="23" s="1"/>
  <c r="D133" i="23"/>
  <c r="E133" i="23" s="1"/>
  <c r="F133" i="23" s="1"/>
  <c r="G122" i="39"/>
  <c r="I122" i="39" s="1"/>
  <c r="J122" i="39" s="1"/>
  <c r="D123" i="39"/>
  <c r="E123" i="39"/>
  <c r="J131" i="21"/>
  <c r="E133" i="26"/>
  <c r="F133" i="26" s="1"/>
  <c r="B133" i="26"/>
  <c r="B122" i="39"/>
  <c r="H122" i="39"/>
  <c r="G128" i="25"/>
  <c r="I128" i="25" s="1"/>
  <c r="D129" i="25"/>
  <c r="H136" i="4"/>
  <c r="G136" i="4"/>
  <c r="I136" i="4" s="1"/>
  <c r="D137" i="4"/>
  <c r="B137" i="4" s="1"/>
  <c r="H126" i="37"/>
  <c r="D127" i="37"/>
  <c r="B127" i="37" s="1"/>
  <c r="G126" i="37"/>
  <c r="I126" i="37" s="1"/>
  <c r="H128" i="25"/>
  <c r="H132" i="24"/>
  <c r="D133" i="24"/>
  <c r="B133" i="24" s="1"/>
  <c r="G132" i="24"/>
  <c r="I132" i="24" s="1"/>
  <c r="F129" i="29"/>
  <c r="H133" i="38"/>
  <c r="D134" i="38"/>
  <c r="B134" i="38" s="1"/>
  <c r="G133" i="38"/>
  <c r="I133" i="38" s="1"/>
  <c r="H128" i="31"/>
  <c r="D129" i="31"/>
  <c r="B129" i="31" s="1"/>
  <c r="G128" i="31"/>
  <c r="I128" i="31" s="1"/>
  <c r="J128" i="31" s="1"/>
  <c r="E129" i="31"/>
  <c r="F129" i="31" s="1"/>
  <c r="H127" i="35"/>
  <c r="D128" i="35"/>
  <c r="B128" i="35" s="1"/>
  <c r="G127" i="35"/>
  <c r="I127" i="35" s="1"/>
  <c r="E128" i="35"/>
  <c r="H133" i="19"/>
  <c r="G133" i="19"/>
  <c r="I133" i="19" s="1"/>
  <c r="E132" i="21"/>
  <c r="F132" i="21" s="1"/>
  <c r="J132" i="19"/>
  <c r="J128" i="29"/>
  <c r="J127" i="31"/>
  <c r="B134" i="19" l="1"/>
  <c r="E134" i="19"/>
  <c r="F134" i="19" s="1"/>
  <c r="J126" i="37"/>
  <c r="J128" i="25"/>
  <c r="G135" i="3"/>
  <c r="I135" i="3" s="1"/>
  <c r="J135" i="3" s="1"/>
  <c r="D136" i="3"/>
  <c r="E136" i="3"/>
  <c r="F136" i="3" s="1"/>
  <c r="E133" i="18"/>
  <c r="F133" i="18" s="1"/>
  <c r="B133" i="18"/>
  <c r="B131" i="27"/>
  <c r="H131" i="27"/>
  <c r="E137" i="4"/>
  <c r="F137" i="4" s="1"/>
  <c r="D134" i="22"/>
  <c r="E134" i="22" s="1"/>
  <c r="F134" i="22" s="1"/>
  <c r="G133" i="22"/>
  <c r="I133" i="22" s="1"/>
  <c r="J133" i="22" s="1"/>
  <c r="H135" i="3"/>
  <c r="E131" i="27"/>
  <c r="F131" i="27" s="1"/>
  <c r="B133" i="22"/>
  <c r="H133" i="22"/>
  <c r="G129" i="34"/>
  <c r="I129" i="34" s="1"/>
  <c r="J129" i="34" s="1"/>
  <c r="D130" i="34"/>
  <c r="E130" i="34"/>
  <c r="F130" i="34" s="1"/>
  <c r="F123" i="39"/>
  <c r="E124" i="39" s="1"/>
  <c r="J133" i="19"/>
  <c r="F128" i="35"/>
  <c r="E134" i="38"/>
  <c r="F134" i="38" s="1"/>
  <c r="E133" i="24"/>
  <c r="F133" i="24" s="1"/>
  <c r="J132" i="23"/>
  <c r="G123" i="39"/>
  <c r="I123" i="39" s="1"/>
  <c r="H133" i="26"/>
  <c r="D134" i="26"/>
  <c r="B134" i="26" s="1"/>
  <c r="G133" i="26"/>
  <c r="I133" i="26" s="1"/>
  <c r="J133" i="26" s="1"/>
  <c r="E134" i="26"/>
  <c r="F134" i="26" s="1"/>
  <c r="B123" i="39"/>
  <c r="H123" i="39"/>
  <c r="H137" i="4"/>
  <c r="D138" i="4"/>
  <c r="B138" i="4" s="1"/>
  <c r="G137" i="4"/>
  <c r="I137" i="4" s="1"/>
  <c r="E138" i="4"/>
  <c r="F138" i="4" s="1"/>
  <c r="H129" i="31"/>
  <c r="D130" i="31"/>
  <c r="B130" i="31" s="1"/>
  <c r="G129" i="31"/>
  <c r="I129" i="31" s="1"/>
  <c r="H133" i="23"/>
  <c r="G133" i="23"/>
  <c r="I133" i="23" s="1"/>
  <c r="D134" i="23"/>
  <c r="E134" i="23"/>
  <c r="F134" i="23" s="1"/>
  <c r="H132" i="21"/>
  <c r="D133" i="21"/>
  <c r="B133" i="21" s="1"/>
  <c r="G132" i="21"/>
  <c r="I132" i="21" s="1"/>
  <c r="H134" i="19"/>
  <c r="D135" i="19"/>
  <c r="B135" i="19" s="1"/>
  <c r="G134" i="19"/>
  <c r="I134" i="19" s="1"/>
  <c r="H128" i="35"/>
  <c r="D129" i="35"/>
  <c r="B129" i="35" s="1"/>
  <c r="G128" i="35"/>
  <c r="I128" i="35" s="1"/>
  <c r="E129" i="35"/>
  <c r="H134" i="38"/>
  <c r="D135" i="38"/>
  <c r="B135" i="38" s="1"/>
  <c r="G134" i="38"/>
  <c r="I134" i="38" s="1"/>
  <c r="H129" i="29"/>
  <c r="G129" i="29"/>
  <c r="I129" i="29" s="1"/>
  <c r="D130" i="29"/>
  <c r="E130" i="29" s="1"/>
  <c r="F130" i="29" s="1"/>
  <c r="J136" i="4"/>
  <c r="J127" i="35"/>
  <c r="H133" i="24"/>
  <c r="G133" i="24"/>
  <c r="I133" i="24" s="1"/>
  <c r="J133" i="24" s="1"/>
  <c r="D134" i="24"/>
  <c r="B134" i="24" s="1"/>
  <c r="J132" i="24"/>
  <c r="F127" i="37"/>
  <c r="E129" i="25"/>
  <c r="F129" i="25" s="1"/>
  <c r="B129" i="25"/>
  <c r="D135" i="22" l="1"/>
  <c r="G134" i="22"/>
  <c r="I134" i="22" s="1"/>
  <c r="E135" i="22"/>
  <c r="F135" i="22" s="1"/>
  <c r="G133" i="18"/>
  <c r="I133" i="18" s="1"/>
  <c r="J133" i="18" s="1"/>
  <c r="D134" i="18"/>
  <c r="E134" i="18" s="1"/>
  <c r="F134" i="18" s="1"/>
  <c r="D124" i="39"/>
  <c r="G130" i="34"/>
  <c r="I130" i="34" s="1"/>
  <c r="J130" i="34" s="1"/>
  <c r="D131" i="34"/>
  <c r="E131" i="34"/>
  <c r="F131" i="34" s="1"/>
  <c r="G136" i="3"/>
  <c r="I136" i="3" s="1"/>
  <c r="D137" i="3"/>
  <c r="E137" i="3"/>
  <c r="F137" i="3" s="1"/>
  <c r="B130" i="34"/>
  <c r="H130" i="34"/>
  <c r="B134" i="22"/>
  <c r="H134" i="22"/>
  <c r="B136" i="3"/>
  <c r="H136" i="3"/>
  <c r="E130" i="31"/>
  <c r="F130" i="31" s="1"/>
  <c r="H130" i="31" s="1"/>
  <c r="J137" i="4"/>
  <c r="G131" i="27"/>
  <c r="I131" i="27" s="1"/>
  <c r="J131" i="27" s="1"/>
  <c r="D132" i="27"/>
  <c r="E132" i="27"/>
  <c r="F132" i="27" s="1"/>
  <c r="H133" i="18"/>
  <c r="E135" i="38"/>
  <c r="F135" i="38" s="1"/>
  <c r="E135" i="19"/>
  <c r="F135" i="19" s="1"/>
  <c r="J129" i="31"/>
  <c r="J134" i="19"/>
  <c r="J133" i="23"/>
  <c r="F124" i="39"/>
  <c r="F129" i="35"/>
  <c r="H129" i="35" s="1"/>
  <c r="E133" i="21"/>
  <c r="F133" i="21" s="1"/>
  <c r="H135" i="38"/>
  <c r="G135" i="38"/>
  <c r="I135" i="38" s="1"/>
  <c r="D136" i="38"/>
  <c r="B136" i="38" s="1"/>
  <c r="E136" i="38"/>
  <c r="F136" i="38" s="1"/>
  <c r="G130" i="31"/>
  <c r="I130" i="31" s="1"/>
  <c r="D131" i="31"/>
  <c r="B131" i="31" s="1"/>
  <c r="H138" i="4"/>
  <c r="D139" i="4"/>
  <c r="B139" i="4" s="1"/>
  <c r="G138" i="4"/>
  <c r="I138" i="4" s="1"/>
  <c r="E139" i="4"/>
  <c r="F139" i="4" s="1"/>
  <c r="H134" i="26"/>
  <c r="D135" i="26"/>
  <c r="B135" i="26" s="1"/>
  <c r="G134" i="26"/>
  <c r="I134" i="26" s="1"/>
  <c r="H135" i="19"/>
  <c r="G135" i="19"/>
  <c r="I135" i="19" s="1"/>
  <c r="D136" i="19"/>
  <c r="B136" i="19" s="1"/>
  <c r="H134" i="23"/>
  <c r="D135" i="23"/>
  <c r="E135" i="23" s="1"/>
  <c r="F135" i="23" s="1"/>
  <c r="G134" i="23"/>
  <c r="I134" i="23" s="1"/>
  <c r="H129" i="25"/>
  <c r="D130" i="25"/>
  <c r="G129" i="25"/>
  <c r="I129" i="25" s="1"/>
  <c r="H127" i="37"/>
  <c r="G127" i="37"/>
  <c r="I127" i="37" s="1"/>
  <c r="D128" i="37"/>
  <c r="B128" i="37" s="1"/>
  <c r="E128" i="37"/>
  <c r="F128" i="37" s="1"/>
  <c r="H130" i="29"/>
  <c r="D131" i="29"/>
  <c r="E131" i="29" s="1"/>
  <c r="F131" i="29" s="1"/>
  <c r="G130" i="29"/>
  <c r="I130" i="29" s="1"/>
  <c r="J130" i="29" s="1"/>
  <c r="H133" i="21"/>
  <c r="G133" i="21"/>
  <c r="I133" i="21" s="1"/>
  <c r="J133" i="21" s="1"/>
  <c r="D134" i="21"/>
  <c r="D125" i="39"/>
  <c r="G124" i="39"/>
  <c r="I124" i="39" s="1"/>
  <c r="E125" i="39"/>
  <c r="J128" i="35"/>
  <c r="J132" i="21"/>
  <c r="J123" i="39"/>
  <c r="E134" i="24"/>
  <c r="F134" i="24" s="1"/>
  <c r="J129" i="29"/>
  <c r="B124" i="39"/>
  <c r="H124" i="39"/>
  <c r="G134" i="18" l="1"/>
  <c r="I134" i="18" s="1"/>
  <c r="D135" i="18"/>
  <c r="E135" i="18"/>
  <c r="F135" i="18" s="1"/>
  <c r="D133" i="27"/>
  <c r="G132" i="27"/>
  <c r="I132" i="27" s="1"/>
  <c r="E133" i="27"/>
  <c r="F133" i="27" s="1"/>
  <c r="B132" i="27"/>
  <c r="H132" i="27"/>
  <c r="G137" i="3"/>
  <c r="I137" i="3" s="1"/>
  <c r="D138" i="3"/>
  <c r="E138" i="3"/>
  <c r="F138" i="3" s="1"/>
  <c r="B134" i="18"/>
  <c r="H134" i="18"/>
  <c r="B137" i="3"/>
  <c r="H137" i="3"/>
  <c r="J136" i="3"/>
  <c r="G135" i="22"/>
  <c r="I135" i="22" s="1"/>
  <c r="D136" i="22"/>
  <c r="D130" i="35"/>
  <c r="B130" i="35" s="1"/>
  <c r="G129" i="35"/>
  <c r="I129" i="35" s="1"/>
  <c r="J130" i="31"/>
  <c r="D132" i="34"/>
  <c r="G131" i="34"/>
  <c r="I131" i="34" s="1"/>
  <c r="J131" i="34" s="1"/>
  <c r="J156" i="34" s="1"/>
  <c r="E132" i="34"/>
  <c r="F132" i="34" s="1"/>
  <c r="J134" i="22"/>
  <c r="B131" i="34"/>
  <c r="H131" i="34"/>
  <c r="B135" i="22"/>
  <c r="H135" i="22"/>
  <c r="J129" i="35"/>
  <c r="E135" i="26"/>
  <c r="F135" i="26" s="1"/>
  <c r="G135" i="26" s="1"/>
  <c r="I135" i="26" s="1"/>
  <c r="J138" i="4"/>
  <c r="J127" i="37"/>
  <c r="H131" i="29"/>
  <c r="G131" i="29"/>
  <c r="I131" i="29" s="1"/>
  <c r="D132" i="29"/>
  <c r="E132" i="29" s="1"/>
  <c r="F132" i="29" s="1"/>
  <c r="E130" i="35"/>
  <c r="F130" i="35" s="1"/>
  <c r="H128" i="37"/>
  <c r="D129" i="37"/>
  <c r="B129" i="37" s="1"/>
  <c r="G128" i="37"/>
  <c r="I128" i="37" s="1"/>
  <c r="E129" i="37"/>
  <c r="H134" i="24"/>
  <c r="G134" i="24"/>
  <c r="I134" i="24" s="1"/>
  <c r="D135" i="24"/>
  <c r="B135" i="24" s="1"/>
  <c r="J135" i="19"/>
  <c r="H135" i="23"/>
  <c r="G135" i="23"/>
  <c r="I135" i="23" s="1"/>
  <c r="D136" i="23"/>
  <c r="E136" i="23" s="1"/>
  <c r="F136" i="23" s="1"/>
  <c r="H135" i="26"/>
  <c r="H139" i="4"/>
  <c r="G139" i="4"/>
  <c r="I139" i="4" s="1"/>
  <c r="D140" i="4"/>
  <c r="B140" i="4" s="1"/>
  <c r="H136" i="38"/>
  <c r="G136" i="38"/>
  <c r="I136" i="38" s="1"/>
  <c r="D137" i="38"/>
  <c r="B137" i="38" s="1"/>
  <c r="B125" i="39"/>
  <c r="J129" i="25"/>
  <c r="J134" i="23"/>
  <c r="J134" i="26"/>
  <c r="E134" i="21"/>
  <c r="B134" i="21"/>
  <c r="F134" i="21"/>
  <c r="E130" i="25"/>
  <c r="F130" i="25" s="1"/>
  <c r="B130" i="25"/>
  <c r="F125" i="39"/>
  <c r="J124" i="39"/>
  <c r="E136" i="19"/>
  <c r="F136" i="19" s="1"/>
  <c r="E131" i="31"/>
  <c r="F131" i="31" s="1"/>
  <c r="D133" i="34" l="1"/>
  <c r="G132" i="34"/>
  <c r="I132" i="34" s="1"/>
  <c r="B132" i="34"/>
  <c r="H132" i="34"/>
  <c r="G133" i="27"/>
  <c r="I133" i="27" s="1"/>
  <c r="D134" i="27"/>
  <c r="E134" i="27"/>
  <c r="F134" i="27" s="1"/>
  <c r="D136" i="26"/>
  <c r="B136" i="26" s="1"/>
  <c r="J134" i="24"/>
  <c r="J131" i="29"/>
  <c r="J156" i="29" s="1"/>
  <c r="J132" i="27"/>
  <c r="B133" i="27"/>
  <c r="H133" i="27"/>
  <c r="G138" i="3"/>
  <c r="I138" i="3" s="1"/>
  <c r="D139" i="3"/>
  <c r="E139" i="3" s="1"/>
  <c r="F139" i="3" s="1"/>
  <c r="D136" i="18"/>
  <c r="G135" i="18"/>
  <c r="I135" i="18" s="1"/>
  <c r="J128" i="37"/>
  <c r="B136" i="22"/>
  <c r="E136" i="22"/>
  <c r="F136" i="22" s="1"/>
  <c r="B138" i="3"/>
  <c r="H138" i="3"/>
  <c r="B135" i="18"/>
  <c r="H135" i="18"/>
  <c r="E140" i="4"/>
  <c r="F140" i="4" s="1"/>
  <c r="J135" i="22"/>
  <c r="J137" i="3"/>
  <c r="J134" i="18"/>
  <c r="J135" i="26"/>
  <c r="E135" i="24"/>
  <c r="F135" i="24" s="1"/>
  <c r="H132" i="29"/>
  <c r="G132" i="29"/>
  <c r="I132" i="29" s="1"/>
  <c r="D133" i="29"/>
  <c r="E133" i="29"/>
  <c r="F133" i="29" s="1"/>
  <c r="H130" i="25"/>
  <c r="D131" i="25"/>
  <c r="B131" i="25" s="1"/>
  <c r="G130" i="25"/>
  <c r="I130" i="25" s="1"/>
  <c r="H134" i="21"/>
  <c r="D135" i="21"/>
  <c r="B135" i="21" s="1"/>
  <c r="G134" i="21"/>
  <c r="I134" i="21" s="1"/>
  <c r="E135" i="21"/>
  <c r="F135" i="21" s="1"/>
  <c r="E137" i="38"/>
  <c r="F137" i="38" s="1"/>
  <c r="E136" i="26"/>
  <c r="F136" i="26" s="1"/>
  <c r="H131" i="31"/>
  <c r="D132" i="31"/>
  <c r="B132" i="31" s="1"/>
  <c r="G131" i="31"/>
  <c r="I131" i="31" s="1"/>
  <c r="J131" i="31" s="1"/>
  <c r="H136" i="19"/>
  <c r="D137" i="19"/>
  <c r="B137" i="19" s="1"/>
  <c r="G136" i="19"/>
  <c r="I136" i="19" s="1"/>
  <c r="J136" i="19" s="1"/>
  <c r="H135" i="24"/>
  <c r="G135" i="24"/>
  <c r="I135" i="24" s="1"/>
  <c r="D136" i="24"/>
  <c r="B136" i="24" s="1"/>
  <c r="H130" i="35"/>
  <c r="G130" i="35"/>
  <c r="I130" i="35" s="1"/>
  <c r="J130" i="35" s="1"/>
  <c r="D131" i="35"/>
  <c r="B131" i="35" s="1"/>
  <c r="E131" i="35"/>
  <c r="F131" i="35" s="1"/>
  <c r="H140" i="4"/>
  <c r="D141" i="4"/>
  <c r="B141" i="4" s="1"/>
  <c r="G140" i="4"/>
  <c r="I140" i="4" s="1"/>
  <c r="H136" i="23"/>
  <c r="D137" i="23"/>
  <c r="G136" i="23"/>
  <c r="I136" i="23" s="1"/>
  <c r="J136" i="23" s="1"/>
  <c r="E137" i="23"/>
  <c r="F137" i="23" s="1"/>
  <c r="D126" i="39"/>
  <c r="G125" i="39"/>
  <c r="I125" i="39" s="1"/>
  <c r="E126" i="39"/>
  <c r="H125" i="39"/>
  <c r="J139" i="4"/>
  <c r="J135" i="23"/>
  <c r="F129" i="37"/>
  <c r="D140" i="3" l="1"/>
  <c r="E140" i="3" s="1"/>
  <c r="F140" i="3" s="1"/>
  <c r="G139" i="3"/>
  <c r="I139" i="3" s="1"/>
  <c r="B139" i="3"/>
  <c r="H139" i="3"/>
  <c r="G134" i="27"/>
  <c r="I134" i="27" s="1"/>
  <c r="D135" i="27"/>
  <c r="E135" i="27"/>
  <c r="F135" i="27" s="1"/>
  <c r="H136" i="22"/>
  <c r="D137" i="22"/>
  <c r="G136" i="22"/>
  <c r="I136" i="22" s="1"/>
  <c r="E137" i="22"/>
  <c r="F137" i="22" s="1"/>
  <c r="J138" i="3"/>
  <c r="B134" i="27"/>
  <c r="H134" i="27"/>
  <c r="J133" i="27"/>
  <c r="J135" i="18"/>
  <c r="E131" i="25"/>
  <c r="F131" i="25" s="1"/>
  <c r="B136" i="18"/>
  <c r="H136" i="18"/>
  <c r="J135" i="24"/>
  <c r="E136" i="18"/>
  <c r="F136" i="18" s="1"/>
  <c r="B133" i="34"/>
  <c r="E133" i="34"/>
  <c r="F133" i="34" s="1"/>
  <c r="J134" i="21"/>
  <c r="F126" i="39"/>
  <c r="J125" i="39"/>
  <c r="E137" i="19"/>
  <c r="F137" i="19" s="1"/>
  <c r="H137" i="19" s="1"/>
  <c r="E132" i="31"/>
  <c r="F132" i="31" s="1"/>
  <c r="H131" i="25"/>
  <c r="D132" i="25"/>
  <c r="B132" i="25" s="1"/>
  <c r="G131" i="25"/>
  <c r="I131" i="25" s="1"/>
  <c r="J131" i="25" s="1"/>
  <c r="J130" i="25"/>
  <c r="H137" i="23"/>
  <c r="D138" i="23"/>
  <c r="E138" i="23" s="1"/>
  <c r="F138" i="23" s="1"/>
  <c r="G137" i="23"/>
  <c r="I137" i="23" s="1"/>
  <c r="E136" i="24"/>
  <c r="F136" i="24" s="1"/>
  <c r="H132" i="31"/>
  <c r="D133" i="31"/>
  <c r="B133" i="31" s="1"/>
  <c r="G132" i="31"/>
  <c r="I132" i="31" s="1"/>
  <c r="E133" i="31"/>
  <c r="F133" i="31" s="1"/>
  <c r="H136" i="26"/>
  <c r="D137" i="26"/>
  <c r="B137" i="26" s="1"/>
  <c r="G136" i="26"/>
  <c r="I136" i="26" s="1"/>
  <c r="G126" i="39"/>
  <c r="I126" i="39" s="1"/>
  <c r="D127" i="39"/>
  <c r="E127" i="39"/>
  <c r="H137" i="38"/>
  <c r="G137" i="38"/>
  <c r="I137" i="38" s="1"/>
  <c r="D138" i="38"/>
  <c r="B138" i="38" s="1"/>
  <c r="B126" i="39"/>
  <c r="H126" i="39"/>
  <c r="H135" i="21"/>
  <c r="G135" i="21"/>
  <c r="I135" i="21" s="1"/>
  <c r="J135" i="21" s="1"/>
  <c r="D136" i="21"/>
  <c r="B136" i="21" s="1"/>
  <c r="H133" i="29"/>
  <c r="D134" i="29"/>
  <c r="E134" i="29" s="1"/>
  <c r="F134" i="29" s="1"/>
  <c r="G133" i="29"/>
  <c r="I133" i="29" s="1"/>
  <c r="H129" i="37"/>
  <c r="G129" i="37"/>
  <c r="I129" i="37" s="1"/>
  <c r="J129" i="37" s="1"/>
  <c r="D130" i="37"/>
  <c r="B130" i="37" s="1"/>
  <c r="E141" i="4"/>
  <c r="F141" i="4" s="1"/>
  <c r="H131" i="35"/>
  <c r="D132" i="35"/>
  <c r="B132" i="35" s="1"/>
  <c r="G131" i="35"/>
  <c r="I131" i="35" s="1"/>
  <c r="E132" i="35"/>
  <c r="F132" i="35" s="1"/>
  <c r="J140" i="4"/>
  <c r="G140" i="3" l="1"/>
  <c r="I140" i="3" s="1"/>
  <c r="D141" i="3"/>
  <c r="E141" i="3" s="1"/>
  <c r="F141" i="3" s="1"/>
  <c r="D134" i="34"/>
  <c r="H133" i="34"/>
  <c r="G133" i="34"/>
  <c r="I133" i="34" s="1"/>
  <c r="D136" i="27"/>
  <c r="B136" i="27" s="1"/>
  <c r="G135" i="27"/>
  <c r="I135" i="27" s="1"/>
  <c r="J135" i="27" s="1"/>
  <c r="B135" i="27"/>
  <c r="H135" i="27"/>
  <c r="G136" i="18"/>
  <c r="I136" i="18" s="1"/>
  <c r="J136" i="18" s="1"/>
  <c r="D137" i="18"/>
  <c r="E137" i="18"/>
  <c r="F137" i="18" s="1"/>
  <c r="J134" i="27"/>
  <c r="E132" i="25"/>
  <c r="F132" i="25" s="1"/>
  <c r="D138" i="22"/>
  <c r="E138" i="22" s="1"/>
  <c r="F138" i="22" s="1"/>
  <c r="G137" i="22"/>
  <c r="I137" i="22" s="1"/>
  <c r="J136" i="22"/>
  <c r="J136" i="26"/>
  <c r="E136" i="27"/>
  <c r="F136" i="27" s="1"/>
  <c r="D137" i="27" s="1"/>
  <c r="B137" i="27" s="1"/>
  <c r="B137" i="22"/>
  <c r="H137" i="22"/>
  <c r="J139" i="3"/>
  <c r="B140" i="3"/>
  <c r="H140" i="3"/>
  <c r="D138" i="19"/>
  <c r="B138" i="19" s="1"/>
  <c r="G137" i="19"/>
  <c r="I137" i="19" s="1"/>
  <c r="J137" i="19" s="1"/>
  <c r="F127" i="39"/>
  <c r="D128" i="39" s="1"/>
  <c r="J137" i="23"/>
  <c r="H138" i="23"/>
  <c r="G138" i="23"/>
  <c r="I138" i="23" s="1"/>
  <c r="D139" i="23"/>
  <c r="E139" i="23" s="1"/>
  <c r="F139" i="23" s="1"/>
  <c r="H134" i="29"/>
  <c r="G134" i="29"/>
  <c r="I134" i="29" s="1"/>
  <c r="D135" i="29"/>
  <c r="E135" i="29" s="1"/>
  <c r="F135" i="29" s="1"/>
  <c r="J126" i="39"/>
  <c r="E137" i="26"/>
  <c r="F137" i="26" s="1"/>
  <c r="E138" i="38"/>
  <c r="F138" i="38" s="1"/>
  <c r="H132" i="35"/>
  <c r="D133" i="35"/>
  <c r="B133" i="35" s="1"/>
  <c r="G132" i="35"/>
  <c r="I132" i="35" s="1"/>
  <c r="J131" i="35"/>
  <c r="J156" i="35" s="1"/>
  <c r="E130" i="37"/>
  <c r="F130" i="37" s="1"/>
  <c r="E136" i="21"/>
  <c r="F136" i="21" s="1"/>
  <c r="H132" i="25"/>
  <c r="D133" i="25"/>
  <c r="B133" i="25" s="1"/>
  <c r="G132" i="25"/>
  <c r="I132" i="25" s="1"/>
  <c r="H133" i="31"/>
  <c r="D134" i="31"/>
  <c r="B134" i="31" s="1"/>
  <c r="G133" i="31"/>
  <c r="I133" i="31" s="1"/>
  <c r="H136" i="24"/>
  <c r="G136" i="24"/>
  <c r="I136" i="24" s="1"/>
  <c r="J136" i="24" s="1"/>
  <c r="D137" i="24"/>
  <c r="B137" i="24" s="1"/>
  <c r="E137" i="24"/>
  <c r="F137" i="24" s="1"/>
  <c r="J156" i="25"/>
  <c r="E128" i="39"/>
  <c r="J132" i="31"/>
  <c r="H141" i="4"/>
  <c r="D142" i="4"/>
  <c r="B142" i="4" s="1"/>
  <c r="G141" i="4"/>
  <c r="I141" i="4" s="1"/>
  <c r="B127" i="39"/>
  <c r="H127" i="39"/>
  <c r="G138" i="22" l="1"/>
  <c r="I138" i="22" s="1"/>
  <c r="D139" i="22"/>
  <c r="E139" i="22"/>
  <c r="F139" i="22" s="1"/>
  <c r="D142" i="3"/>
  <c r="G141" i="3"/>
  <c r="I141" i="3" s="1"/>
  <c r="E142" i="3"/>
  <c r="F142" i="3" s="1"/>
  <c r="H136" i="27"/>
  <c r="G137" i="18"/>
  <c r="I137" i="18" s="1"/>
  <c r="D138" i="18"/>
  <c r="E138" i="18" s="1"/>
  <c r="F138" i="18" s="1"/>
  <c r="G127" i="39"/>
  <c r="I127" i="39" s="1"/>
  <c r="J127" i="39" s="1"/>
  <c r="B137" i="18"/>
  <c r="H137" i="18"/>
  <c r="B134" i="34"/>
  <c r="H134" i="34"/>
  <c r="E134" i="34"/>
  <c r="F134" i="34" s="1"/>
  <c r="J137" i="22"/>
  <c r="B141" i="3"/>
  <c r="H141" i="3"/>
  <c r="E137" i="27"/>
  <c r="F137" i="27" s="1"/>
  <c r="D138" i="27" s="1"/>
  <c r="B138" i="27" s="1"/>
  <c r="G136" i="27"/>
  <c r="I136" i="27" s="1"/>
  <c r="J138" i="23"/>
  <c r="B138" i="22"/>
  <c r="H138" i="22"/>
  <c r="J140" i="3"/>
  <c r="E138" i="19"/>
  <c r="F138" i="19" s="1"/>
  <c r="H135" i="29"/>
  <c r="G135" i="29"/>
  <c r="I135" i="29" s="1"/>
  <c r="D136" i="29"/>
  <c r="E136" i="29"/>
  <c r="F136" i="29" s="1"/>
  <c r="H137" i="27"/>
  <c r="G137" i="27"/>
  <c r="I137" i="27" s="1"/>
  <c r="F128" i="39"/>
  <c r="E134" i="31"/>
  <c r="F134" i="31" s="1"/>
  <c r="E133" i="25"/>
  <c r="F133" i="25" s="1"/>
  <c r="J133" i="31"/>
  <c r="B128" i="39"/>
  <c r="H128" i="39"/>
  <c r="H136" i="21"/>
  <c r="D137" i="21"/>
  <c r="B137" i="21" s="1"/>
  <c r="G136" i="21"/>
  <c r="I136" i="21" s="1"/>
  <c r="E137" i="21"/>
  <c r="F137" i="21" s="1"/>
  <c r="H139" i="23"/>
  <c r="D140" i="23"/>
  <c r="E140" i="23" s="1"/>
  <c r="F140" i="23" s="1"/>
  <c r="G139" i="23"/>
  <c r="I139" i="23" s="1"/>
  <c r="H137" i="24"/>
  <c r="G137" i="24"/>
  <c r="I137" i="24" s="1"/>
  <c r="D138" i="24"/>
  <c r="B138" i="24" s="1"/>
  <c r="H130" i="37"/>
  <c r="G130" i="37"/>
  <c r="I130" i="37" s="1"/>
  <c r="D131" i="37"/>
  <c r="B131" i="37" s="1"/>
  <c r="H137" i="26"/>
  <c r="D138" i="26"/>
  <c r="B138" i="26" s="1"/>
  <c r="G137" i="26"/>
  <c r="I137" i="26" s="1"/>
  <c r="E142" i="4"/>
  <c r="F142" i="4" s="1"/>
  <c r="J141" i="4"/>
  <c r="E133" i="35"/>
  <c r="F133" i="35" s="1"/>
  <c r="H138" i="38"/>
  <c r="G138" i="38"/>
  <c r="I138" i="38" s="1"/>
  <c r="D139" i="38"/>
  <c r="B139" i="38" s="1"/>
  <c r="G138" i="18" l="1"/>
  <c r="I138" i="18" s="1"/>
  <c r="D139" i="18"/>
  <c r="E139" i="18"/>
  <c r="F139" i="18" s="1"/>
  <c r="J137" i="27"/>
  <c r="G134" i="34"/>
  <c r="I134" i="34" s="1"/>
  <c r="D135" i="34"/>
  <c r="J137" i="18"/>
  <c r="D143" i="3"/>
  <c r="E143" i="3"/>
  <c r="F143" i="3" s="1"/>
  <c r="G142" i="3"/>
  <c r="I142" i="3" s="1"/>
  <c r="J142" i="3" s="1"/>
  <c r="E138" i="26"/>
  <c r="F138" i="26" s="1"/>
  <c r="E138" i="24"/>
  <c r="F138" i="24" s="1"/>
  <c r="J136" i="27"/>
  <c r="J141" i="3"/>
  <c r="J137" i="26"/>
  <c r="B142" i="3"/>
  <c r="H142" i="3"/>
  <c r="G139" i="22"/>
  <c r="I139" i="22" s="1"/>
  <c r="D140" i="22"/>
  <c r="E140" i="22"/>
  <c r="F140" i="22" s="1"/>
  <c r="B139" i="22"/>
  <c r="H139" i="22"/>
  <c r="E131" i="37"/>
  <c r="F131" i="37" s="1"/>
  <c r="B138" i="18"/>
  <c r="H138" i="18"/>
  <c r="J138" i="22"/>
  <c r="E139" i="38"/>
  <c r="F139" i="38" s="1"/>
  <c r="D140" i="38" s="1"/>
  <c r="B140" i="38" s="1"/>
  <c r="D139" i="19"/>
  <c r="G138" i="19"/>
  <c r="I138" i="19" s="1"/>
  <c r="H138" i="19"/>
  <c r="H142" i="4"/>
  <c r="D143" i="4"/>
  <c r="B143" i="4" s="1"/>
  <c r="G142" i="4"/>
  <c r="I142" i="4" s="1"/>
  <c r="J142" i="4" s="1"/>
  <c r="E138" i="27"/>
  <c r="F138" i="27" s="1"/>
  <c r="H138" i="26"/>
  <c r="G138" i="26"/>
  <c r="I138" i="26" s="1"/>
  <c r="J138" i="26" s="1"/>
  <c r="D139" i="26"/>
  <c r="B139" i="26" s="1"/>
  <c r="H138" i="24"/>
  <c r="D139" i="24"/>
  <c r="B139" i="24" s="1"/>
  <c r="G138" i="24"/>
  <c r="I138" i="24" s="1"/>
  <c r="H137" i="21"/>
  <c r="D138" i="21"/>
  <c r="B138" i="21" s="1"/>
  <c r="G137" i="21"/>
  <c r="I137" i="21" s="1"/>
  <c r="H133" i="35"/>
  <c r="G133" i="35"/>
  <c r="I133" i="35" s="1"/>
  <c r="D134" i="35"/>
  <c r="B134" i="35" s="1"/>
  <c r="J136" i="21"/>
  <c r="J137" i="24"/>
  <c r="H136" i="29"/>
  <c r="G136" i="29"/>
  <c r="I136" i="29" s="1"/>
  <c r="D137" i="29"/>
  <c r="E137" i="29" s="1"/>
  <c r="F137" i="29" s="1"/>
  <c r="H131" i="37"/>
  <c r="G131" i="37"/>
  <c r="I131" i="37" s="1"/>
  <c r="J131" i="37" s="1"/>
  <c r="D132" i="37"/>
  <c r="B132" i="37" s="1"/>
  <c r="H140" i="23"/>
  <c r="G140" i="23"/>
  <c r="I140" i="23" s="1"/>
  <c r="D141" i="23"/>
  <c r="E141" i="23"/>
  <c r="F141" i="23" s="1"/>
  <c r="H133" i="25"/>
  <c r="G133" i="25"/>
  <c r="I133" i="25" s="1"/>
  <c r="D134" i="25"/>
  <c r="B134" i="25" s="1"/>
  <c r="H139" i="38"/>
  <c r="J139" i="23"/>
  <c r="H134" i="31"/>
  <c r="G134" i="31"/>
  <c r="I134" i="31" s="1"/>
  <c r="D135" i="31"/>
  <c r="B135" i="31" s="1"/>
  <c r="J130" i="37"/>
  <c r="G128" i="39"/>
  <c r="I128" i="39" s="1"/>
  <c r="J128" i="39" s="1"/>
  <c r="D129" i="39"/>
  <c r="E129" i="39"/>
  <c r="F129" i="39" s="1"/>
  <c r="B135" i="34" l="1"/>
  <c r="E135" i="34"/>
  <c r="F135" i="34" s="1"/>
  <c r="D141" i="22"/>
  <c r="G140" i="22"/>
  <c r="I140" i="22" s="1"/>
  <c r="B140" i="22"/>
  <c r="H140" i="22"/>
  <c r="J139" i="22"/>
  <c r="G139" i="18"/>
  <c r="I139" i="18" s="1"/>
  <c r="D140" i="18"/>
  <c r="E140" i="18"/>
  <c r="F140" i="18" s="1"/>
  <c r="E140" i="38"/>
  <c r="F140" i="38" s="1"/>
  <c r="G139" i="38"/>
  <c r="I139" i="38" s="1"/>
  <c r="D144" i="3"/>
  <c r="G143" i="3"/>
  <c r="I143" i="3" s="1"/>
  <c r="J143" i="3" s="1"/>
  <c r="E144" i="3"/>
  <c r="F144" i="3" s="1"/>
  <c r="B139" i="18"/>
  <c r="H139" i="18"/>
  <c r="J137" i="21"/>
  <c r="B143" i="3"/>
  <c r="H143" i="3"/>
  <c r="J138" i="18"/>
  <c r="J134" i="31"/>
  <c r="E134" i="25"/>
  <c r="F134" i="25" s="1"/>
  <c r="H134" i="25" s="1"/>
  <c r="E132" i="37"/>
  <c r="F132" i="37" s="1"/>
  <c r="E134" i="35"/>
  <c r="F134" i="35" s="1"/>
  <c r="J138" i="19"/>
  <c r="B139" i="19"/>
  <c r="E139" i="19"/>
  <c r="F139" i="19" s="1"/>
  <c r="E139" i="26"/>
  <c r="F139" i="26" s="1"/>
  <c r="H139" i="26" s="1"/>
  <c r="J140" i="23"/>
  <c r="E138" i="21"/>
  <c r="F138" i="21" s="1"/>
  <c r="G138" i="21" s="1"/>
  <c r="I138" i="21" s="1"/>
  <c r="E143" i="4"/>
  <c r="F143" i="4" s="1"/>
  <c r="H141" i="23"/>
  <c r="D142" i="23"/>
  <c r="E142" i="23" s="1"/>
  <c r="F142" i="23" s="1"/>
  <c r="G141" i="23"/>
  <c r="I141" i="23" s="1"/>
  <c r="J141" i="23" s="1"/>
  <c r="D139" i="21"/>
  <c r="B139" i="21" s="1"/>
  <c r="H138" i="27"/>
  <c r="D139" i="27"/>
  <c r="B139" i="27" s="1"/>
  <c r="G138" i="27"/>
  <c r="I138" i="27" s="1"/>
  <c r="E139" i="27"/>
  <c r="F139" i="27" s="1"/>
  <c r="E135" i="31"/>
  <c r="F135" i="31" s="1"/>
  <c r="H137" i="29"/>
  <c r="D138" i="29"/>
  <c r="G137" i="29"/>
  <c r="I137" i="29" s="1"/>
  <c r="E138" i="29"/>
  <c r="F138" i="29" s="1"/>
  <c r="H143" i="4"/>
  <c r="D144" i="4"/>
  <c r="B144" i="4" s="1"/>
  <c r="G143" i="4"/>
  <c r="I143" i="4" s="1"/>
  <c r="J143" i="4" s="1"/>
  <c r="H140" i="38"/>
  <c r="D141" i="38"/>
  <c r="B141" i="38" s="1"/>
  <c r="G140" i="38"/>
  <c r="I140" i="38" s="1"/>
  <c r="E141" i="38"/>
  <c r="F141" i="38" s="1"/>
  <c r="G134" i="25"/>
  <c r="I134" i="25" s="1"/>
  <c r="D135" i="25"/>
  <c r="B135" i="25" s="1"/>
  <c r="D130" i="39"/>
  <c r="E130" i="39" s="1"/>
  <c r="F130" i="39" s="1"/>
  <c r="G129" i="39"/>
  <c r="I129" i="39" s="1"/>
  <c r="B129" i="39"/>
  <c r="H129" i="39"/>
  <c r="H132" i="37"/>
  <c r="D133" i="37"/>
  <c r="B133" i="37" s="1"/>
  <c r="G132" i="37"/>
  <c r="I132" i="37" s="1"/>
  <c r="J156" i="37"/>
  <c r="H134" i="35"/>
  <c r="G134" i="35"/>
  <c r="I134" i="35" s="1"/>
  <c r="D135" i="35"/>
  <c r="B135" i="35" s="1"/>
  <c r="E139" i="24"/>
  <c r="F139" i="24" s="1"/>
  <c r="J138" i="24"/>
  <c r="E139" i="21" l="1"/>
  <c r="F139" i="21" s="1"/>
  <c r="D145" i="3"/>
  <c r="G144" i="3"/>
  <c r="I144" i="3" s="1"/>
  <c r="H138" i="21"/>
  <c r="J138" i="21" s="1"/>
  <c r="B144" i="3"/>
  <c r="H144" i="3"/>
  <c r="J140" i="22"/>
  <c r="J129" i="39"/>
  <c r="B141" i="22"/>
  <c r="E141" i="22"/>
  <c r="F141" i="22" s="1"/>
  <c r="D141" i="18"/>
  <c r="G140" i="18"/>
  <c r="I140" i="18" s="1"/>
  <c r="J140" i="18" s="1"/>
  <c r="E141" i="18"/>
  <c r="F141" i="18" s="1"/>
  <c r="D136" i="34"/>
  <c r="G135" i="34"/>
  <c r="I135" i="34" s="1"/>
  <c r="B140" i="18"/>
  <c r="H140" i="18"/>
  <c r="H135" i="34"/>
  <c r="E133" i="37"/>
  <c r="F133" i="37" s="1"/>
  <c r="H133" i="37" s="1"/>
  <c r="J139" i="18"/>
  <c r="G139" i="19"/>
  <c r="I139" i="19" s="1"/>
  <c r="D140" i="19"/>
  <c r="E140" i="19" s="1"/>
  <c r="F140" i="19" s="1"/>
  <c r="H139" i="19"/>
  <c r="D140" i="26"/>
  <c r="B140" i="26" s="1"/>
  <c r="G139" i="26"/>
  <c r="I139" i="26" s="1"/>
  <c r="J139" i="26" s="1"/>
  <c r="E135" i="35"/>
  <c r="F135" i="35" s="1"/>
  <c r="D136" i="35" s="1"/>
  <c r="B136" i="35" s="1"/>
  <c r="J138" i="27"/>
  <c r="D131" i="39"/>
  <c r="E131" i="39" s="1"/>
  <c r="F131" i="39" s="1"/>
  <c r="G130" i="39"/>
  <c r="I130" i="39" s="1"/>
  <c r="H139" i="27"/>
  <c r="G139" i="27"/>
  <c r="I139" i="27" s="1"/>
  <c r="J139" i="27" s="1"/>
  <c r="D140" i="27"/>
  <c r="B140" i="27" s="1"/>
  <c r="E140" i="27"/>
  <c r="F140" i="27" s="1"/>
  <c r="H139" i="21"/>
  <c r="D140" i="21"/>
  <c r="B140" i="21" s="1"/>
  <c r="G139" i="21"/>
  <c r="I139" i="21" s="1"/>
  <c r="B130" i="39"/>
  <c r="H130" i="39"/>
  <c r="H139" i="24"/>
  <c r="D140" i="24"/>
  <c r="B140" i="24" s="1"/>
  <c r="G139" i="24"/>
  <c r="I139" i="24" s="1"/>
  <c r="J139" i="24" s="1"/>
  <c r="E140" i="24"/>
  <c r="F140" i="24" s="1"/>
  <c r="H141" i="38"/>
  <c r="G141" i="38"/>
  <c r="I141" i="38" s="1"/>
  <c r="D142" i="38"/>
  <c r="B142" i="38" s="1"/>
  <c r="E142" i="38"/>
  <c r="F142" i="38" s="1"/>
  <c r="H138" i="29"/>
  <c r="D139" i="29"/>
  <c r="E139" i="29" s="1"/>
  <c r="F139" i="29" s="1"/>
  <c r="G138" i="29"/>
  <c r="I138" i="29" s="1"/>
  <c r="H135" i="31"/>
  <c r="D136" i="31"/>
  <c r="B136" i="31" s="1"/>
  <c r="G135" i="31"/>
  <c r="I135" i="31" s="1"/>
  <c r="H142" i="23"/>
  <c r="D143" i="23"/>
  <c r="E143" i="23" s="1"/>
  <c r="F143" i="23" s="1"/>
  <c r="G142" i="23"/>
  <c r="I142" i="23" s="1"/>
  <c r="G133" i="37"/>
  <c r="I133" i="37" s="1"/>
  <c r="E135" i="25"/>
  <c r="F135" i="25" s="1"/>
  <c r="E144" i="4"/>
  <c r="F144" i="4" s="1"/>
  <c r="B136" i="34" l="1"/>
  <c r="G141" i="18"/>
  <c r="I141" i="18" s="1"/>
  <c r="D142" i="18"/>
  <c r="E142" i="18"/>
  <c r="F142" i="18" s="1"/>
  <c r="B141" i="18"/>
  <c r="H141" i="18"/>
  <c r="J144" i="3"/>
  <c r="D134" i="37"/>
  <c r="B134" i="37" s="1"/>
  <c r="G141" i="22"/>
  <c r="I141" i="22" s="1"/>
  <c r="J141" i="22" s="1"/>
  <c r="H141" i="22"/>
  <c r="D142" i="22"/>
  <c r="B145" i="3"/>
  <c r="E145" i="3"/>
  <c r="F145" i="3" s="1"/>
  <c r="E136" i="31"/>
  <c r="F136" i="31" s="1"/>
  <c r="J135" i="31"/>
  <c r="E140" i="21"/>
  <c r="F140" i="21" s="1"/>
  <c r="E136" i="34"/>
  <c r="F136" i="34" s="1"/>
  <c r="G135" i="35"/>
  <c r="I135" i="35" s="1"/>
  <c r="G140" i="19"/>
  <c r="I140" i="19" s="1"/>
  <c r="D141" i="19"/>
  <c r="E141" i="19"/>
  <c r="F141" i="19" s="1"/>
  <c r="B140" i="19"/>
  <c r="H140" i="19"/>
  <c r="J139" i="19"/>
  <c r="H135" i="35"/>
  <c r="E136" i="35"/>
  <c r="F136" i="35" s="1"/>
  <c r="E137" i="35" s="1"/>
  <c r="F137" i="35" s="1"/>
  <c r="E140" i="26"/>
  <c r="F140" i="26" s="1"/>
  <c r="H143" i="23"/>
  <c r="G143" i="23"/>
  <c r="I143" i="23" s="1"/>
  <c r="D144" i="23"/>
  <c r="E144" i="23" s="1"/>
  <c r="F144" i="23" s="1"/>
  <c r="H139" i="29"/>
  <c r="G139" i="29"/>
  <c r="I139" i="29" s="1"/>
  <c r="D140" i="29"/>
  <c r="E140" i="29"/>
  <c r="F140" i="29" s="1"/>
  <c r="H136" i="35"/>
  <c r="D137" i="35"/>
  <c r="B137" i="35" s="1"/>
  <c r="G136" i="35"/>
  <c r="I136" i="35" s="1"/>
  <c r="H144" i="4"/>
  <c r="G144" i="4"/>
  <c r="I144" i="4" s="1"/>
  <c r="J144" i="4" s="1"/>
  <c r="D145" i="4"/>
  <c r="B145" i="4" s="1"/>
  <c r="E145" i="4"/>
  <c r="F145" i="4" s="1"/>
  <c r="H135" i="25"/>
  <c r="G135" i="25"/>
  <c r="I135" i="25" s="1"/>
  <c r="D136" i="25"/>
  <c r="B136" i="25" s="1"/>
  <c r="H140" i="27"/>
  <c r="G140" i="27"/>
  <c r="I140" i="27" s="1"/>
  <c r="D141" i="27"/>
  <c r="B141" i="27" s="1"/>
  <c r="H140" i="24"/>
  <c r="D141" i="24"/>
  <c r="B141" i="24" s="1"/>
  <c r="G140" i="24"/>
  <c r="I140" i="24" s="1"/>
  <c r="J140" i="24" s="1"/>
  <c r="H142" i="38"/>
  <c r="G142" i="38"/>
  <c r="I142" i="38" s="1"/>
  <c r="D143" i="38"/>
  <c r="B143" i="38" s="1"/>
  <c r="H140" i="21"/>
  <c r="G140" i="21"/>
  <c r="I140" i="21" s="1"/>
  <c r="D141" i="21"/>
  <c r="B141" i="21" s="1"/>
  <c r="D132" i="39"/>
  <c r="E132" i="39" s="1"/>
  <c r="F132" i="39" s="1"/>
  <c r="G131" i="39"/>
  <c r="I131" i="39" s="1"/>
  <c r="E134" i="37"/>
  <c r="F134" i="37" s="1"/>
  <c r="J139" i="21"/>
  <c r="J130" i="39"/>
  <c r="H136" i="31"/>
  <c r="G136" i="31"/>
  <c r="I136" i="31" s="1"/>
  <c r="D137" i="31"/>
  <c r="B137" i="31" s="1"/>
  <c r="J142" i="23"/>
  <c r="B131" i="39"/>
  <c r="H131" i="39"/>
  <c r="J140" i="27" l="1"/>
  <c r="H145" i="3"/>
  <c r="D146" i="3"/>
  <c r="G145" i="3"/>
  <c r="I145" i="3" s="1"/>
  <c r="J145" i="3" s="1"/>
  <c r="D143" i="18"/>
  <c r="G142" i="18"/>
  <c r="I142" i="18" s="1"/>
  <c r="E143" i="18"/>
  <c r="F143" i="18" s="1"/>
  <c r="E143" i="38"/>
  <c r="F143" i="38" s="1"/>
  <c r="B142" i="22"/>
  <c r="E142" i="22"/>
  <c r="F142" i="22" s="1"/>
  <c r="B142" i="18"/>
  <c r="H142" i="18"/>
  <c r="J141" i="18"/>
  <c r="E137" i="34"/>
  <c r="F137" i="34" s="1"/>
  <c r="G136" i="34"/>
  <c r="I136" i="34" s="1"/>
  <c r="D137" i="34"/>
  <c r="H136" i="34"/>
  <c r="E137" i="31"/>
  <c r="F137" i="31" s="1"/>
  <c r="E141" i="27"/>
  <c r="F141" i="27" s="1"/>
  <c r="E136" i="25"/>
  <c r="F136" i="25" s="1"/>
  <c r="E141" i="24"/>
  <c r="F141" i="24" s="1"/>
  <c r="D141" i="26"/>
  <c r="E141" i="26" s="1"/>
  <c r="F141" i="26" s="1"/>
  <c r="G140" i="26"/>
  <c r="I140" i="26" s="1"/>
  <c r="G141" i="19"/>
  <c r="I141" i="19" s="1"/>
  <c r="J141" i="19" s="1"/>
  <c r="D142" i="19"/>
  <c r="H140" i="26"/>
  <c r="B141" i="19"/>
  <c r="H141" i="19"/>
  <c r="J140" i="19"/>
  <c r="G132" i="39"/>
  <c r="I132" i="39" s="1"/>
  <c r="D133" i="39"/>
  <c r="B133" i="39" s="1"/>
  <c r="H145" i="4"/>
  <c r="D146" i="4"/>
  <c r="B146" i="4" s="1"/>
  <c r="G145" i="4"/>
  <c r="I145" i="4" s="1"/>
  <c r="J145" i="4" s="1"/>
  <c r="H140" i="29"/>
  <c r="D141" i="29"/>
  <c r="G140" i="29"/>
  <c r="I140" i="29" s="1"/>
  <c r="E141" i="29"/>
  <c r="F141" i="29" s="1"/>
  <c r="J140" i="21"/>
  <c r="H134" i="37"/>
  <c r="D135" i="37"/>
  <c r="B135" i="37" s="1"/>
  <c r="G134" i="37"/>
  <c r="I134" i="37" s="1"/>
  <c r="H141" i="24"/>
  <c r="D142" i="24"/>
  <c r="B142" i="24" s="1"/>
  <c r="G141" i="24"/>
  <c r="I141" i="24" s="1"/>
  <c r="J141" i="24" s="1"/>
  <c r="H141" i="27"/>
  <c r="D142" i="27"/>
  <c r="B142" i="27" s="1"/>
  <c r="G141" i="27"/>
  <c r="I141" i="27" s="1"/>
  <c r="H136" i="25"/>
  <c r="G136" i="25"/>
  <c r="I136" i="25" s="1"/>
  <c r="D137" i="25"/>
  <c r="B137" i="25" s="1"/>
  <c r="H137" i="35"/>
  <c r="G137" i="35"/>
  <c r="I137" i="35" s="1"/>
  <c r="D138" i="35"/>
  <c r="B138" i="35" s="1"/>
  <c r="H144" i="23"/>
  <c r="G144" i="23"/>
  <c r="I144" i="23" s="1"/>
  <c r="D145" i="23"/>
  <c r="E145" i="23" s="1"/>
  <c r="F145" i="23" s="1"/>
  <c r="J136" i="31"/>
  <c r="J131" i="39"/>
  <c r="J156" i="39" s="1"/>
  <c r="H137" i="31"/>
  <c r="G137" i="31"/>
  <c r="I137" i="31" s="1"/>
  <c r="D138" i="31"/>
  <c r="B138" i="31" s="1"/>
  <c r="H143" i="38"/>
  <c r="G143" i="38"/>
  <c r="I143" i="38" s="1"/>
  <c r="D144" i="38"/>
  <c r="B144" i="38" s="1"/>
  <c r="E144" i="38"/>
  <c r="F144" i="38" s="1"/>
  <c r="J143" i="23"/>
  <c r="B132" i="39"/>
  <c r="H132" i="39"/>
  <c r="E141" i="21"/>
  <c r="F141" i="21" s="1"/>
  <c r="D144" i="18" l="1"/>
  <c r="G143" i="18"/>
  <c r="I143" i="18" s="1"/>
  <c r="J143" i="18" s="1"/>
  <c r="G137" i="34"/>
  <c r="I137" i="34" s="1"/>
  <c r="D138" i="34"/>
  <c r="E138" i="34"/>
  <c r="F138" i="34" s="1"/>
  <c r="J142" i="18"/>
  <c r="J144" i="23"/>
  <c r="B143" i="18"/>
  <c r="H143" i="18"/>
  <c r="B146" i="3"/>
  <c r="H142" i="22"/>
  <c r="D143" i="22"/>
  <c r="G142" i="22"/>
  <c r="I142" i="22" s="1"/>
  <c r="J142" i="22" s="1"/>
  <c r="E146" i="3"/>
  <c r="F146" i="3" s="1"/>
  <c r="B137" i="34"/>
  <c r="H137" i="34"/>
  <c r="E138" i="31"/>
  <c r="F138" i="31" s="1"/>
  <c r="B142" i="19"/>
  <c r="E142" i="19"/>
  <c r="F142" i="19" s="1"/>
  <c r="G141" i="26"/>
  <c r="I141" i="26" s="1"/>
  <c r="D142" i="26"/>
  <c r="J140" i="26"/>
  <c r="B141" i="26"/>
  <c r="H141" i="26"/>
  <c r="E146" i="4"/>
  <c r="F146" i="4" s="1"/>
  <c r="H146" i="4" s="1"/>
  <c r="H145" i="23"/>
  <c r="D146" i="23"/>
  <c r="E146" i="23" s="1"/>
  <c r="F146" i="23" s="1"/>
  <c r="G145" i="23"/>
  <c r="I145" i="23" s="1"/>
  <c r="J145" i="23" s="1"/>
  <c r="H144" i="38"/>
  <c r="D145" i="38"/>
  <c r="B145" i="38" s="1"/>
  <c r="G144" i="38"/>
  <c r="I144" i="38" s="1"/>
  <c r="D147" i="4"/>
  <c r="B147" i="4" s="1"/>
  <c r="G146" i="4"/>
  <c r="I146" i="4" s="1"/>
  <c r="E147" i="4"/>
  <c r="F147" i="4" s="1"/>
  <c r="E137" i="25"/>
  <c r="F137" i="25" s="1"/>
  <c r="E142" i="24"/>
  <c r="F142" i="24" s="1"/>
  <c r="H141" i="21"/>
  <c r="D142" i="21"/>
  <c r="B142" i="21" s="1"/>
  <c r="G141" i="21"/>
  <c r="I141" i="21" s="1"/>
  <c r="E142" i="21"/>
  <c r="F142" i="21" s="1"/>
  <c r="H141" i="29"/>
  <c r="G141" i="29"/>
  <c r="I141" i="29" s="1"/>
  <c r="D142" i="29"/>
  <c r="E142" i="29" s="1"/>
  <c r="F142" i="29" s="1"/>
  <c r="E133" i="39"/>
  <c r="F133" i="39" s="1"/>
  <c r="H138" i="31"/>
  <c r="G138" i="31"/>
  <c r="I138" i="31" s="1"/>
  <c r="D139" i="31"/>
  <c r="B139" i="31" s="1"/>
  <c r="E139" i="31"/>
  <c r="F139" i="31" s="1"/>
  <c r="J137" i="31"/>
  <c r="E138" i="35"/>
  <c r="F138" i="35" s="1"/>
  <c r="E142" i="27"/>
  <c r="F142" i="27" s="1"/>
  <c r="E135" i="37"/>
  <c r="F135" i="37" s="1"/>
  <c r="J141" i="27"/>
  <c r="D147" i="3" l="1"/>
  <c r="E147" i="3" s="1"/>
  <c r="F147" i="3" s="1"/>
  <c r="G146" i="3"/>
  <c r="I146" i="3" s="1"/>
  <c r="J146" i="3" s="1"/>
  <c r="B143" i="22"/>
  <c r="E143" i="22"/>
  <c r="F143" i="22" s="1"/>
  <c r="G138" i="34"/>
  <c r="I138" i="34" s="1"/>
  <c r="E139" i="34"/>
  <c r="F139" i="34" s="1"/>
  <c r="D139" i="34"/>
  <c r="B138" i="34"/>
  <c r="H138" i="34"/>
  <c r="H146" i="3"/>
  <c r="B144" i="18"/>
  <c r="E144" i="18"/>
  <c r="F144" i="18" s="1"/>
  <c r="J146" i="4"/>
  <c r="B142" i="26"/>
  <c r="E142" i="26"/>
  <c r="F142" i="26" s="1"/>
  <c r="J141" i="26"/>
  <c r="G142" i="19"/>
  <c r="I142" i="19" s="1"/>
  <c r="J142" i="19" s="1"/>
  <c r="H142" i="19"/>
  <c r="D143" i="19"/>
  <c r="J141" i="21"/>
  <c r="J138" i="31"/>
  <c r="H142" i="29"/>
  <c r="G142" i="29"/>
  <c r="I142" i="29" s="1"/>
  <c r="D143" i="29"/>
  <c r="E143" i="29" s="1"/>
  <c r="F143" i="29" s="1"/>
  <c r="E145" i="38"/>
  <c r="F145" i="38" s="1"/>
  <c r="H138" i="35"/>
  <c r="D139" i="35"/>
  <c r="B139" i="35" s="1"/>
  <c r="G138" i="35"/>
  <c r="I138" i="35" s="1"/>
  <c r="H142" i="21"/>
  <c r="G142" i="21"/>
  <c r="I142" i="21" s="1"/>
  <c r="D143" i="21"/>
  <c r="B143" i="21" s="1"/>
  <c r="H137" i="25"/>
  <c r="G137" i="25"/>
  <c r="I137" i="25" s="1"/>
  <c r="D138" i="25"/>
  <c r="B138" i="25" s="1"/>
  <c r="E138" i="25"/>
  <c r="F138" i="25" s="1"/>
  <c r="H139" i="31"/>
  <c r="D140" i="31"/>
  <c r="B140" i="31" s="1"/>
  <c r="G139" i="31"/>
  <c r="I139" i="31" s="1"/>
  <c r="H147" i="4"/>
  <c r="G147" i="4"/>
  <c r="I147" i="4" s="1"/>
  <c r="D148" i="4"/>
  <c r="B148" i="4" s="1"/>
  <c r="E148" i="4"/>
  <c r="F148" i="4" s="1"/>
  <c r="H146" i="23"/>
  <c r="D147" i="23"/>
  <c r="E147" i="23" s="1"/>
  <c r="F147" i="23" s="1"/>
  <c r="G146" i="23"/>
  <c r="I146" i="23" s="1"/>
  <c r="H142" i="24"/>
  <c r="G142" i="24"/>
  <c r="I142" i="24" s="1"/>
  <c r="J142" i="24" s="1"/>
  <c r="D143" i="24"/>
  <c r="B143" i="24" s="1"/>
  <c r="H142" i="27"/>
  <c r="D143" i="27"/>
  <c r="B143" i="27" s="1"/>
  <c r="G142" i="27"/>
  <c r="I142" i="27" s="1"/>
  <c r="H135" i="37"/>
  <c r="G135" i="37"/>
  <c r="I135" i="37" s="1"/>
  <c r="D136" i="37"/>
  <c r="B136" i="37" s="1"/>
  <c r="H133" i="39"/>
  <c r="D134" i="39"/>
  <c r="B134" i="39" s="1"/>
  <c r="G133" i="39"/>
  <c r="I133" i="39" s="1"/>
  <c r="D148" i="3" l="1"/>
  <c r="G147" i="3"/>
  <c r="I147" i="3" s="1"/>
  <c r="E148" i="3"/>
  <c r="F148" i="3" s="1"/>
  <c r="B139" i="34"/>
  <c r="H139" i="34"/>
  <c r="D140" i="34"/>
  <c r="G139" i="34"/>
  <c r="I139" i="34" s="1"/>
  <c r="E140" i="34"/>
  <c r="F140" i="34" s="1"/>
  <c r="G144" i="18"/>
  <c r="I144" i="18" s="1"/>
  <c r="D145" i="18"/>
  <c r="E145" i="18" s="1"/>
  <c r="F145" i="18" s="1"/>
  <c r="H144" i="18"/>
  <c r="D144" i="22"/>
  <c r="E144" i="22" s="1"/>
  <c r="F144" i="22" s="1"/>
  <c r="G143" i="22"/>
  <c r="I143" i="22" s="1"/>
  <c r="J143" i="22" s="1"/>
  <c r="H143" i="22"/>
  <c r="B147" i="3"/>
  <c r="H147" i="3"/>
  <c r="E139" i="35"/>
  <c r="F139" i="35" s="1"/>
  <c r="E143" i="21"/>
  <c r="F143" i="21" s="1"/>
  <c r="G142" i="26"/>
  <c r="I142" i="26" s="1"/>
  <c r="D143" i="26"/>
  <c r="E143" i="26"/>
  <c r="F143" i="26" s="1"/>
  <c r="B143" i="19"/>
  <c r="E143" i="19"/>
  <c r="F143" i="19" s="1"/>
  <c r="H142" i="26"/>
  <c r="H147" i="23"/>
  <c r="G147" i="23"/>
  <c r="I147" i="23" s="1"/>
  <c r="D148" i="23"/>
  <c r="E148" i="23"/>
  <c r="F148" i="23" s="1"/>
  <c r="J147" i="4"/>
  <c r="J142" i="21"/>
  <c r="E136" i="37"/>
  <c r="F136" i="37" s="1"/>
  <c r="E143" i="24"/>
  <c r="F143" i="24" s="1"/>
  <c r="H138" i="25"/>
  <c r="D139" i="25"/>
  <c r="B139" i="25" s="1"/>
  <c r="G138" i="25"/>
  <c r="I138" i="25" s="1"/>
  <c r="H139" i="35"/>
  <c r="G139" i="35"/>
  <c r="I139" i="35" s="1"/>
  <c r="D140" i="35"/>
  <c r="B140" i="35" s="1"/>
  <c r="H143" i="29"/>
  <c r="G143" i="29"/>
  <c r="I143" i="29" s="1"/>
  <c r="D144" i="29"/>
  <c r="E144" i="29"/>
  <c r="F144" i="29" s="1"/>
  <c r="E134" i="39"/>
  <c r="F134" i="39" s="1"/>
  <c r="E140" i="31"/>
  <c r="F140" i="31" s="1"/>
  <c r="H143" i="21"/>
  <c r="G143" i="21"/>
  <c r="I143" i="21" s="1"/>
  <c r="D144" i="21"/>
  <c r="B144" i="21" s="1"/>
  <c r="E143" i="27"/>
  <c r="F143" i="27" s="1"/>
  <c r="H148" i="4"/>
  <c r="G148" i="4"/>
  <c r="I148" i="4" s="1"/>
  <c r="D149" i="4"/>
  <c r="B149" i="4" s="1"/>
  <c r="E149" i="4"/>
  <c r="F149" i="4" s="1"/>
  <c r="J142" i="27"/>
  <c r="J146" i="23"/>
  <c r="J139" i="31"/>
  <c r="H145" i="38"/>
  <c r="D146" i="38"/>
  <c r="B146" i="38" s="1"/>
  <c r="G145" i="38"/>
  <c r="I145" i="38" s="1"/>
  <c r="D145" i="22" l="1"/>
  <c r="B145" i="22" s="1"/>
  <c r="G144" i="22"/>
  <c r="I144" i="22" s="1"/>
  <c r="E145" i="22"/>
  <c r="F145" i="22" s="1"/>
  <c r="D146" i="18"/>
  <c r="G145" i="18"/>
  <c r="I145" i="18" s="1"/>
  <c r="J145" i="18" s="1"/>
  <c r="D141" i="34"/>
  <c r="G140" i="34"/>
  <c r="I140" i="34" s="1"/>
  <c r="J147" i="23"/>
  <c r="J142" i="26"/>
  <c r="B140" i="34"/>
  <c r="H140" i="34"/>
  <c r="B144" i="22"/>
  <c r="H144" i="22"/>
  <c r="G148" i="3"/>
  <c r="I148" i="3" s="1"/>
  <c r="J148" i="3" s="1"/>
  <c r="D149" i="3"/>
  <c r="E149" i="3" s="1"/>
  <c r="F149" i="3" s="1"/>
  <c r="B145" i="18"/>
  <c r="H145" i="18"/>
  <c r="J147" i="3"/>
  <c r="J143" i="21"/>
  <c r="J144" i="18"/>
  <c r="B148" i="3"/>
  <c r="H148" i="3"/>
  <c r="D144" i="26"/>
  <c r="B144" i="26" s="1"/>
  <c r="G143" i="26"/>
  <c r="I143" i="26" s="1"/>
  <c r="E144" i="26"/>
  <c r="F144" i="26" s="1"/>
  <c r="H144" i="26" s="1"/>
  <c r="B143" i="26"/>
  <c r="H143" i="26"/>
  <c r="G143" i="19"/>
  <c r="I143" i="19" s="1"/>
  <c r="D144" i="19"/>
  <c r="B144" i="19" s="1"/>
  <c r="H143" i="19"/>
  <c r="J148" i="4"/>
  <c r="E139" i="25"/>
  <c r="F139" i="25" s="1"/>
  <c r="G139" i="25" s="1"/>
  <c r="I139" i="25" s="1"/>
  <c r="E140" i="35"/>
  <c r="F140" i="35" s="1"/>
  <c r="H139" i="25"/>
  <c r="D140" i="25"/>
  <c r="B140" i="25" s="1"/>
  <c r="H149" i="4"/>
  <c r="G149" i="4"/>
  <c r="I149" i="4" s="1"/>
  <c r="D150" i="4"/>
  <c r="B150" i="4" s="1"/>
  <c r="H134" i="39"/>
  <c r="G134" i="39"/>
  <c r="I134" i="39" s="1"/>
  <c r="D135" i="39"/>
  <c r="E135" i="39" s="1"/>
  <c r="F135" i="39" s="1"/>
  <c r="H148" i="23"/>
  <c r="G148" i="23"/>
  <c r="I148" i="23" s="1"/>
  <c r="J148" i="23" s="1"/>
  <c r="D149" i="23"/>
  <c r="E149" i="23" s="1"/>
  <c r="F149" i="23" s="1"/>
  <c r="H144" i="29"/>
  <c r="G144" i="29"/>
  <c r="I144" i="29" s="1"/>
  <c r="D145" i="29"/>
  <c r="E145" i="29" s="1"/>
  <c r="F145" i="29" s="1"/>
  <c r="D145" i="26"/>
  <c r="B145" i="26" s="1"/>
  <c r="H136" i="37"/>
  <c r="G136" i="37"/>
  <c r="I136" i="37" s="1"/>
  <c r="D137" i="37"/>
  <c r="B137" i="37" s="1"/>
  <c r="E146" i="38"/>
  <c r="F146" i="38" s="1"/>
  <c r="H145" i="22"/>
  <c r="G145" i="22"/>
  <c r="I145" i="22" s="1"/>
  <c r="D146" i="22"/>
  <c r="B146" i="22" s="1"/>
  <c r="E144" i="21"/>
  <c r="F144" i="21" s="1"/>
  <c r="H143" i="27"/>
  <c r="G143" i="27"/>
  <c r="I143" i="27" s="1"/>
  <c r="D144" i="27"/>
  <c r="B144" i="27" s="1"/>
  <c r="H140" i="31"/>
  <c r="D141" i="31"/>
  <c r="B141" i="31" s="1"/>
  <c r="G140" i="31"/>
  <c r="I140" i="31" s="1"/>
  <c r="H143" i="24"/>
  <c r="G143" i="24"/>
  <c r="I143" i="24" s="1"/>
  <c r="J143" i="24" s="1"/>
  <c r="D144" i="24"/>
  <c r="B144" i="24" s="1"/>
  <c r="D150" i="3" l="1"/>
  <c r="B150" i="3" s="1"/>
  <c r="G149" i="3"/>
  <c r="I149" i="3" s="1"/>
  <c r="E150" i="3"/>
  <c r="F150" i="3" s="1"/>
  <c r="J143" i="19"/>
  <c r="B146" i="18"/>
  <c r="H146" i="18"/>
  <c r="E146" i="18"/>
  <c r="F146" i="18" s="1"/>
  <c r="B141" i="34"/>
  <c r="G144" i="26"/>
  <c r="I144" i="26" s="1"/>
  <c r="J144" i="22"/>
  <c r="B149" i="3"/>
  <c r="H149" i="3"/>
  <c r="E141" i="34"/>
  <c r="F141" i="34" s="1"/>
  <c r="J149" i="4"/>
  <c r="E144" i="19"/>
  <c r="F144" i="19" s="1"/>
  <c r="H144" i="19" s="1"/>
  <c r="E140" i="25"/>
  <c r="F140" i="25" s="1"/>
  <c r="J143" i="26"/>
  <c r="J140" i="31"/>
  <c r="E146" i="22"/>
  <c r="F146" i="22" s="1"/>
  <c r="E150" i="4"/>
  <c r="F150" i="4" s="1"/>
  <c r="G150" i="4" s="1"/>
  <c r="I150" i="4" s="1"/>
  <c r="H145" i="29"/>
  <c r="G145" i="29"/>
  <c r="I145" i="29" s="1"/>
  <c r="D146" i="29"/>
  <c r="E146" i="29" s="1"/>
  <c r="F146" i="29" s="1"/>
  <c r="D136" i="39"/>
  <c r="G135" i="39"/>
  <c r="I135" i="39" s="1"/>
  <c r="E136" i="39"/>
  <c r="F136" i="39" s="1"/>
  <c r="H149" i="23"/>
  <c r="G149" i="23"/>
  <c r="I149" i="23" s="1"/>
  <c r="D150" i="23"/>
  <c r="E150" i="23"/>
  <c r="F150" i="23" s="1"/>
  <c r="J143" i="27"/>
  <c r="E137" i="37"/>
  <c r="F137" i="37" s="1"/>
  <c r="H150" i="4"/>
  <c r="H140" i="25"/>
  <c r="D141" i="25"/>
  <c r="B141" i="25" s="1"/>
  <c r="G140" i="25"/>
  <c r="I140" i="25" s="1"/>
  <c r="E144" i="27"/>
  <c r="F144" i="27" s="1"/>
  <c r="H146" i="38"/>
  <c r="D147" i="38"/>
  <c r="B147" i="38" s="1"/>
  <c r="G146" i="38"/>
  <c r="I146" i="38" s="1"/>
  <c r="E141" i="31"/>
  <c r="F141" i="31" s="1"/>
  <c r="H144" i="21"/>
  <c r="G144" i="21"/>
  <c r="I144" i="21" s="1"/>
  <c r="D145" i="21"/>
  <c r="B145" i="21" s="1"/>
  <c r="H146" i="22"/>
  <c r="G146" i="22"/>
  <c r="I146" i="22" s="1"/>
  <c r="D147" i="22"/>
  <c r="B147" i="22" s="1"/>
  <c r="E144" i="24"/>
  <c r="F144" i="24" s="1"/>
  <c r="E145" i="26"/>
  <c r="F145" i="26" s="1"/>
  <c r="H140" i="35"/>
  <c r="G140" i="35"/>
  <c r="I140" i="35" s="1"/>
  <c r="D141" i="35"/>
  <c r="B141" i="35" s="1"/>
  <c r="J145" i="22"/>
  <c r="J144" i="26"/>
  <c r="B135" i="39"/>
  <c r="H135" i="39"/>
  <c r="H150" i="3"/>
  <c r="G150" i="3"/>
  <c r="I150" i="3" s="1"/>
  <c r="D151" i="3"/>
  <c r="B151" i="3" s="1"/>
  <c r="E147" i="38" l="1"/>
  <c r="F147" i="38" s="1"/>
  <c r="G146" i="18"/>
  <c r="I146" i="18" s="1"/>
  <c r="J146" i="18" s="1"/>
  <c r="D147" i="18"/>
  <c r="E147" i="18"/>
  <c r="F147" i="18" s="1"/>
  <c r="J150" i="4"/>
  <c r="J146" i="22"/>
  <c r="G141" i="34"/>
  <c r="I141" i="34" s="1"/>
  <c r="D142" i="34"/>
  <c r="J149" i="3"/>
  <c r="H141" i="34"/>
  <c r="J144" i="21"/>
  <c r="D151" i="4"/>
  <c r="B151" i="4" s="1"/>
  <c r="D145" i="19"/>
  <c r="G144" i="19"/>
  <c r="I144" i="19" s="1"/>
  <c r="J144" i="19" s="1"/>
  <c r="H146" i="29"/>
  <c r="G146" i="29"/>
  <c r="I146" i="29" s="1"/>
  <c r="D147" i="29"/>
  <c r="E147" i="29" s="1"/>
  <c r="F147" i="29" s="1"/>
  <c r="E147" i="22"/>
  <c r="F147" i="22" s="1"/>
  <c r="H141" i="31"/>
  <c r="D142" i="31"/>
  <c r="B142" i="31" s="1"/>
  <c r="G141" i="31"/>
  <c r="I141" i="31" s="1"/>
  <c r="H147" i="38"/>
  <c r="G147" i="38"/>
  <c r="I147" i="38" s="1"/>
  <c r="D148" i="38"/>
  <c r="B148" i="38" s="1"/>
  <c r="D137" i="39"/>
  <c r="E137" i="39" s="1"/>
  <c r="F137" i="39" s="1"/>
  <c r="G136" i="39"/>
  <c r="I136" i="39" s="1"/>
  <c r="H137" i="37"/>
  <c r="G137" i="37"/>
  <c r="I137" i="37" s="1"/>
  <c r="D138" i="37"/>
  <c r="B138" i="37" s="1"/>
  <c r="B136" i="39"/>
  <c r="H136" i="39"/>
  <c r="E151" i="3"/>
  <c r="F151" i="3" s="1"/>
  <c r="E145" i="21"/>
  <c r="F145" i="21" s="1"/>
  <c r="H144" i="27"/>
  <c r="D145" i="27"/>
  <c r="B145" i="27" s="1"/>
  <c r="G144" i="27"/>
  <c r="I144" i="27" s="1"/>
  <c r="H150" i="23"/>
  <c r="D151" i="23"/>
  <c r="E151" i="23" s="1"/>
  <c r="F151" i="23" s="1"/>
  <c r="G150" i="23"/>
  <c r="I150" i="23" s="1"/>
  <c r="J150" i="3"/>
  <c r="H145" i="26"/>
  <c r="D146" i="26"/>
  <c r="B146" i="26" s="1"/>
  <c r="G145" i="26"/>
  <c r="I145" i="26" s="1"/>
  <c r="E146" i="26"/>
  <c r="F146" i="26" s="1"/>
  <c r="E141" i="35"/>
  <c r="F141" i="35" s="1"/>
  <c r="H144" i="24"/>
  <c r="G144" i="24"/>
  <c r="I144" i="24" s="1"/>
  <c r="D145" i="24"/>
  <c r="B145" i="24" s="1"/>
  <c r="E141" i="25"/>
  <c r="F141" i="25" s="1"/>
  <c r="J149" i="23"/>
  <c r="B142" i="34" l="1"/>
  <c r="G147" i="18"/>
  <c r="I147" i="18" s="1"/>
  <c r="D148" i="18"/>
  <c r="E148" i="18"/>
  <c r="F148" i="18" s="1"/>
  <c r="B147" i="18"/>
  <c r="H147" i="18"/>
  <c r="J150" i="23"/>
  <c r="E142" i="34"/>
  <c r="F142" i="34" s="1"/>
  <c r="H142" i="34" s="1"/>
  <c r="B145" i="19"/>
  <c r="E145" i="19"/>
  <c r="F145" i="19" s="1"/>
  <c r="J145" i="26"/>
  <c r="E151" i="4"/>
  <c r="F151" i="4" s="1"/>
  <c r="J144" i="27"/>
  <c r="E148" i="38"/>
  <c r="F148" i="38" s="1"/>
  <c r="G148" i="38" s="1"/>
  <c r="I148" i="38" s="1"/>
  <c r="E145" i="24"/>
  <c r="F145" i="24" s="1"/>
  <c r="D138" i="39"/>
  <c r="E138" i="39" s="1"/>
  <c r="F138" i="39" s="1"/>
  <c r="G137" i="39"/>
  <c r="I137" i="39" s="1"/>
  <c r="E145" i="27"/>
  <c r="F145" i="27" s="1"/>
  <c r="E138" i="37"/>
  <c r="F138" i="37" s="1"/>
  <c r="J141" i="31"/>
  <c r="B137" i="39"/>
  <c r="H137" i="39"/>
  <c r="H141" i="35"/>
  <c r="G141" i="35"/>
  <c r="I141" i="35" s="1"/>
  <c r="D142" i="35"/>
  <c r="B142" i="35" s="1"/>
  <c r="E142" i="35"/>
  <c r="F142" i="35" s="1"/>
  <c r="H148" i="38"/>
  <c r="H147" i="22"/>
  <c r="G147" i="22"/>
  <c r="I147" i="22" s="1"/>
  <c r="D148" i="22"/>
  <c r="B148" i="22" s="1"/>
  <c r="H151" i="23"/>
  <c r="G151" i="23"/>
  <c r="I151" i="23" s="1"/>
  <c r="D152" i="23"/>
  <c r="E152" i="23" s="1"/>
  <c r="F152" i="23" s="1"/>
  <c r="H145" i="21"/>
  <c r="G145" i="21"/>
  <c r="I145" i="21" s="1"/>
  <c r="J145" i="21" s="1"/>
  <c r="D146" i="21"/>
  <c r="B146" i="21" s="1"/>
  <c r="E146" i="21"/>
  <c r="F146" i="21" s="1"/>
  <c r="H147" i="29"/>
  <c r="G147" i="29"/>
  <c r="I147" i="29" s="1"/>
  <c r="D148" i="29"/>
  <c r="E148" i="29" s="1"/>
  <c r="F148" i="29" s="1"/>
  <c r="H151" i="3"/>
  <c r="G151" i="3"/>
  <c r="I151" i="3" s="1"/>
  <c r="D152" i="3"/>
  <c r="B152" i="3" s="1"/>
  <c r="H146" i="26"/>
  <c r="D147" i="26"/>
  <c r="B147" i="26" s="1"/>
  <c r="G146" i="26"/>
  <c r="I146" i="26" s="1"/>
  <c r="H141" i="25"/>
  <c r="G141" i="25"/>
  <c r="I141" i="25" s="1"/>
  <c r="D142" i="25"/>
  <c r="B142" i="25" s="1"/>
  <c r="H145" i="24"/>
  <c r="G145" i="24"/>
  <c r="I145" i="24" s="1"/>
  <c r="D146" i="24"/>
  <c r="B146" i="24" s="1"/>
  <c r="J144" i="24"/>
  <c r="E142" i="31"/>
  <c r="F142" i="31" s="1"/>
  <c r="D149" i="18" l="1"/>
  <c r="G148" i="18"/>
  <c r="I148" i="18" s="1"/>
  <c r="E149" i="18"/>
  <c r="F149" i="18" s="1"/>
  <c r="J151" i="23"/>
  <c r="B148" i="18"/>
  <c r="H148" i="18"/>
  <c r="E152" i="3"/>
  <c r="F152" i="3" s="1"/>
  <c r="H152" i="3" s="1"/>
  <c r="J147" i="18"/>
  <c r="E142" i="25"/>
  <c r="F142" i="25" s="1"/>
  <c r="J151" i="3"/>
  <c r="G142" i="34"/>
  <c r="I142" i="34" s="1"/>
  <c r="D143" i="34"/>
  <c r="E143" i="34"/>
  <c r="F143" i="34" s="1"/>
  <c r="J145" i="24"/>
  <c r="J147" i="22"/>
  <c r="H151" i="4"/>
  <c r="D152" i="4"/>
  <c r="G151" i="4"/>
  <c r="I151" i="4" s="1"/>
  <c r="J151" i="4" s="1"/>
  <c r="D149" i="38"/>
  <c r="B149" i="38" s="1"/>
  <c r="G145" i="19"/>
  <c r="I145" i="19" s="1"/>
  <c r="D146" i="19"/>
  <c r="H145" i="19"/>
  <c r="J146" i="26"/>
  <c r="E146" i="24"/>
  <c r="F146" i="24" s="1"/>
  <c r="G146" i="24" s="1"/>
  <c r="I146" i="24" s="1"/>
  <c r="E147" i="26"/>
  <c r="F147" i="26" s="1"/>
  <c r="G147" i="26" s="1"/>
  <c r="I147" i="26" s="1"/>
  <c r="H148" i="29"/>
  <c r="D149" i="29"/>
  <c r="E149" i="29" s="1"/>
  <c r="F149" i="29" s="1"/>
  <c r="G148" i="29"/>
  <c r="I148" i="29" s="1"/>
  <c r="H146" i="21"/>
  <c r="D147" i="21"/>
  <c r="B147" i="21" s="1"/>
  <c r="G146" i="21"/>
  <c r="I146" i="21" s="1"/>
  <c r="J146" i="21" s="1"/>
  <c r="E148" i="22"/>
  <c r="F148" i="22" s="1"/>
  <c r="H142" i="25"/>
  <c r="D143" i="25"/>
  <c r="B143" i="25" s="1"/>
  <c r="G142" i="25"/>
  <c r="I142" i="25" s="1"/>
  <c r="H138" i="37"/>
  <c r="G138" i="37"/>
  <c r="I138" i="37" s="1"/>
  <c r="D139" i="37"/>
  <c r="B139" i="37" s="1"/>
  <c r="H142" i="35"/>
  <c r="D143" i="35"/>
  <c r="B143" i="35" s="1"/>
  <c r="G142" i="35"/>
  <c r="I142" i="35" s="1"/>
  <c r="H145" i="27"/>
  <c r="G145" i="27"/>
  <c r="I145" i="27" s="1"/>
  <c r="D146" i="27"/>
  <c r="B146" i="27" s="1"/>
  <c r="H146" i="24"/>
  <c r="D147" i="24"/>
  <c r="B147" i="24" s="1"/>
  <c r="G138" i="39"/>
  <c r="I138" i="39" s="1"/>
  <c r="D139" i="39"/>
  <c r="B139" i="39" s="1"/>
  <c r="H147" i="26"/>
  <c r="H152" i="23"/>
  <c r="G152" i="23"/>
  <c r="I152" i="23" s="1"/>
  <c r="D153" i="23"/>
  <c r="E153" i="23" s="1"/>
  <c r="F153" i="23" s="1"/>
  <c r="H142" i="31"/>
  <c r="G142" i="31"/>
  <c r="I142" i="31" s="1"/>
  <c r="D143" i="31"/>
  <c r="B143" i="31" s="1"/>
  <c r="E143" i="31"/>
  <c r="F143" i="31" s="1"/>
  <c r="B138" i="39"/>
  <c r="H138" i="39"/>
  <c r="G143" i="34" l="1"/>
  <c r="I143" i="34" s="1"/>
  <c r="D144" i="34"/>
  <c r="E144" i="34"/>
  <c r="F144" i="34" s="1"/>
  <c r="D153" i="3"/>
  <c r="B153" i="3" s="1"/>
  <c r="B143" i="34"/>
  <c r="H143" i="34"/>
  <c r="G152" i="3"/>
  <c r="I152" i="3" s="1"/>
  <c r="J147" i="26"/>
  <c r="G149" i="18"/>
  <c r="I149" i="18" s="1"/>
  <c r="D150" i="18"/>
  <c r="E150" i="18" s="1"/>
  <c r="F150" i="18" s="1"/>
  <c r="E143" i="35"/>
  <c r="F143" i="35" s="1"/>
  <c r="J146" i="24"/>
  <c r="J148" i="18"/>
  <c r="B149" i="18"/>
  <c r="H149" i="18"/>
  <c r="B152" i="4"/>
  <c r="E152" i="4"/>
  <c r="F152" i="4" s="1"/>
  <c r="B146" i="19"/>
  <c r="E146" i="19"/>
  <c r="F146" i="19" s="1"/>
  <c r="J145" i="19"/>
  <c r="D148" i="26"/>
  <c r="B148" i="26" s="1"/>
  <c r="E147" i="24"/>
  <c r="F147" i="24" s="1"/>
  <c r="E149" i="38"/>
  <c r="F149" i="38" s="1"/>
  <c r="E139" i="39"/>
  <c r="F139" i="39" s="1"/>
  <c r="E147" i="21"/>
  <c r="F147" i="21" s="1"/>
  <c r="J145" i="27"/>
  <c r="H143" i="35"/>
  <c r="G143" i="35"/>
  <c r="I143" i="35" s="1"/>
  <c r="D144" i="35"/>
  <c r="B144" i="35" s="1"/>
  <c r="H147" i="24"/>
  <c r="G147" i="24"/>
  <c r="I147" i="24" s="1"/>
  <c r="J147" i="24" s="1"/>
  <c r="D148" i="24"/>
  <c r="B148" i="24" s="1"/>
  <c r="H153" i="23"/>
  <c r="D154" i="23"/>
  <c r="E154" i="23" s="1"/>
  <c r="F154" i="23" s="1"/>
  <c r="G153" i="23"/>
  <c r="I153" i="23" s="1"/>
  <c r="E153" i="3"/>
  <c r="F153" i="3" s="1"/>
  <c r="H149" i="29"/>
  <c r="D150" i="29"/>
  <c r="G149" i="29"/>
  <c r="I149" i="29" s="1"/>
  <c r="E150" i="29"/>
  <c r="F150" i="29" s="1"/>
  <c r="H143" i="31"/>
  <c r="G143" i="31"/>
  <c r="I143" i="31" s="1"/>
  <c r="J143" i="31" s="1"/>
  <c r="D144" i="31"/>
  <c r="B144" i="31" s="1"/>
  <c r="J142" i="31"/>
  <c r="J152" i="23"/>
  <c r="J152" i="3"/>
  <c r="E146" i="27"/>
  <c r="F146" i="27" s="1"/>
  <c r="E139" i="37"/>
  <c r="F139" i="37" s="1"/>
  <c r="E143" i="25"/>
  <c r="F143" i="25" s="1"/>
  <c r="H148" i="22"/>
  <c r="G148" i="22"/>
  <c r="I148" i="22" s="1"/>
  <c r="D149" i="22"/>
  <c r="B149" i="22" s="1"/>
  <c r="D151" i="18" l="1"/>
  <c r="G150" i="18"/>
  <c r="I150" i="18" s="1"/>
  <c r="J150" i="18" s="1"/>
  <c r="E151" i="18"/>
  <c r="F151" i="18" s="1"/>
  <c r="D145" i="34"/>
  <c r="G144" i="34"/>
  <c r="I144" i="34" s="1"/>
  <c r="E145" i="34"/>
  <c r="F145" i="34" s="1"/>
  <c r="E144" i="31"/>
  <c r="F144" i="31" s="1"/>
  <c r="D145" i="31" s="1"/>
  <c r="B150" i="18"/>
  <c r="H150" i="18"/>
  <c r="B144" i="34"/>
  <c r="H144" i="34"/>
  <c r="J149" i="18"/>
  <c r="E148" i="26"/>
  <c r="F148" i="26" s="1"/>
  <c r="G148" i="26" s="1"/>
  <c r="I148" i="26" s="1"/>
  <c r="J148" i="26" s="1"/>
  <c r="G146" i="19"/>
  <c r="I146" i="19" s="1"/>
  <c r="D147" i="19"/>
  <c r="E147" i="19" s="1"/>
  <c r="F147" i="19" s="1"/>
  <c r="J148" i="22"/>
  <c r="D150" i="38"/>
  <c r="H149" i="38"/>
  <c r="G149" i="38"/>
  <c r="I149" i="38" s="1"/>
  <c r="G152" i="4"/>
  <c r="I152" i="4" s="1"/>
  <c r="D153" i="4"/>
  <c r="H146" i="19"/>
  <c r="H152" i="4"/>
  <c r="H154" i="23"/>
  <c r="G154" i="23"/>
  <c r="I154" i="23" s="1"/>
  <c r="D155" i="23"/>
  <c r="E155" i="23" s="1"/>
  <c r="E156" i="23" s="1"/>
  <c r="H150" i="29"/>
  <c r="D151" i="29"/>
  <c r="G150" i="29"/>
  <c r="I150" i="29" s="1"/>
  <c r="E151" i="29"/>
  <c r="F151" i="29" s="1"/>
  <c r="E148" i="24"/>
  <c r="F148" i="24" s="1"/>
  <c r="H147" i="21"/>
  <c r="D148" i="21"/>
  <c r="B148" i="21" s="1"/>
  <c r="G147" i="21"/>
  <c r="I147" i="21" s="1"/>
  <c r="E148" i="21"/>
  <c r="F148" i="21" s="1"/>
  <c r="H139" i="39"/>
  <c r="D140" i="39"/>
  <c r="G139" i="39"/>
  <c r="I139" i="39" s="1"/>
  <c r="H144" i="31"/>
  <c r="G144" i="31"/>
  <c r="I144" i="31" s="1"/>
  <c r="J144" i="31" s="1"/>
  <c r="H143" i="25"/>
  <c r="G143" i="25"/>
  <c r="I143" i="25" s="1"/>
  <c r="D144" i="25"/>
  <c r="E144" i="25" s="1"/>
  <c r="F144" i="25" s="1"/>
  <c r="H153" i="3"/>
  <c r="D154" i="3"/>
  <c r="B154" i="3" s="1"/>
  <c r="G153" i="3"/>
  <c r="I153" i="3" s="1"/>
  <c r="J153" i="3" s="1"/>
  <c r="H148" i="26"/>
  <c r="D149" i="26"/>
  <c r="B149" i="26" s="1"/>
  <c r="E144" i="35"/>
  <c r="F144" i="35" s="1"/>
  <c r="E149" i="22"/>
  <c r="F149" i="22" s="1"/>
  <c r="H139" i="37"/>
  <c r="D140" i="37"/>
  <c r="B140" i="37" s="1"/>
  <c r="G139" i="37"/>
  <c r="I139" i="37" s="1"/>
  <c r="E140" i="37"/>
  <c r="F140" i="37" s="1"/>
  <c r="H146" i="27"/>
  <c r="G146" i="27"/>
  <c r="I146" i="27" s="1"/>
  <c r="J146" i="27" s="1"/>
  <c r="D147" i="27"/>
  <c r="B147" i="27" s="1"/>
  <c r="E147" i="27"/>
  <c r="F147" i="27" s="1"/>
  <c r="J153" i="23"/>
  <c r="B145" i="31" l="1"/>
  <c r="E145" i="31"/>
  <c r="F145" i="31" s="1"/>
  <c r="G145" i="34"/>
  <c r="I145" i="34" s="1"/>
  <c r="D146" i="34"/>
  <c r="E146" i="34" s="1"/>
  <c r="F146" i="34" s="1"/>
  <c r="B145" i="34"/>
  <c r="H145" i="34"/>
  <c r="G151" i="18"/>
  <c r="I151" i="18" s="1"/>
  <c r="D152" i="18"/>
  <c r="E152" i="18" s="1"/>
  <c r="F152" i="18" s="1"/>
  <c r="J147" i="21"/>
  <c r="E154" i="3"/>
  <c r="F154" i="3" s="1"/>
  <c r="B151" i="18"/>
  <c r="H151" i="18"/>
  <c r="D148" i="19"/>
  <c r="G147" i="19"/>
  <c r="I147" i="19" s="1"/>
  <c r="B150" i="38"/>
  <c r="E150" i="38"/>
  <c r="F150" i="38" s="1"/>
  <c r="J154" i="23"/>
  <c r="B153" i="4"/>
  <c r="B147" i="19"/>
  <c r="H147" i="19"/>
  <c r="E153" i="4"/>
  <c r="F153" i="4" s="1"/>
  <c r="H153" i="4" s="1"/>
  <c r="J146" i="19"/>
  <c r="J152" i="4"/>
  <c r="D145" i="25"/>
  <c r="G144" i="25"/>
  <c r="I144" i="25" s="1"/>
  <c r="E145" i="25"/>
  <c r="F145" i="25" s="1"/>
  <c r="E149" i="26"/>
  <c r="F149" i="26" s="1"/>
  <c r="E140" i="39"/>
  <c r="F140" i="39" s="1"/>
  <c r="H140" i="39" s="1"/>
  <c r="B140" i="39"/>
  <c r="H149" i="22"/>
  <c r="D150" i="22"/>
  <c r="B150" i="22" s="1"/>
  <c r="G149" i="22"/>
  <c r="I149" i="22" s="1"/>
  <c r="J149" i="22" s="1"/>
  <c r="H148" i="21"/>
  <c r="D149" i="21"/>
  <c r="B149" i="21" s="1"/>
  <c r="G148" i="21"/>
  <c r="I148" i="21" s="1"/>
  <c r="E149" i="21"/>
  <c r="F149" i="21" s="1"/>
  <c r="H148" i="24"/>
  <c r="D149" i="24"/>
  <c r="B149" i="24" s="1"/>
  <c r="G148" i="24"/>
  <c r="I148" i="24" s="1"/>
  <c r="H147" i="27"/>
  <c r="G147" i="27"/>
  <c r="I147" i="27" s="1"/>
  <c r="D148" i="27"/>
  <c r="B148" i="27" s="1"/>
  <c r="E148" i="27"/>
  <c r="F148" i="27" s="1"/>
  <c r="H154" i="3"/>
  <c r="D155" i="3"/>
  <c r="G154" i="3"/>
  <c r="I154" i="3" s="1"/>
  <c r="E155" i="3"/>
  <c r="E156" i="3" s="1"/>
  <c r="H145" i="31"/>
  <c r="G145" i="31"/>
  <c r="I145" i="31" s="1"/>
  <c r="D146" i="31"/>
  <c r="B146" i="31" s="1"/>
  <c r="H151" i="29"/>
  <c r="D152" i="29"/>
  <c r="E152" i="29" s="1"/>
  <c r="F152" i="29" s="1"/>
  <c r="G151" i="29"/>
  <c r="I151" i="29" s="1"/>
  <c r="H140" i="37"/>
  <c r="D141" i="37"/>
  <c r="B141" i="37" s="1"/>
  <c r="G140" i="37"/>
  <c r="I140" i="37" s="1"/>
  <c r="F155" i="23"/>
  <c r="G155" i="23" s="1"/>
  <c r="I155" i="23" s="1"/>
  <c r="B144" i="25"/>
  <c r="H144" i="25"/>
  <c r="H144" i="35"/>
  <c r="G144" i="35"/>
  <c r="I144" i="35" s="1"/>
  <c r="D145" i="35"/>
  <c r="B145" i="35" s="1"/>
  <c r="D153" i="18" l="1"/>
  <c r="B153" i="18" s="1"/>
  <c r="G152" i="18"/>
  <c r="I152" i="18" s="1"/>
  <c r="G146" i="34"/>
  <c r="I146" i="34" s="1"/>
  <c r="D147" i="34"/>
  <c r="E147" i="34"/>
  <c r="F147" i="34" s="1"/>
  <c r="J147" i="19"/>
  <c r="J151" i="18"/>
  <c r="B146" i="34"/>
  <c r="H146" i="34"/>
  <c r="B152" i="18"/>
  <c r="H152" i="18"/>
  <c r="E149" i="24"/>
  <c r="F149" i="24" s="1"/>
  <c r="D151" i="38"/>
  <c r="G150" i="38"/>
  <c r="I150" i="38" s="1"/>
  <c r="E151" i="38"/>
  <c r="F151" i="38" s="1"/>
  <c r="H150" i="38"/>
  <c r="G153" i="4"/>
  <c r="I153" i="4" s="1"/>
  <c r="J153" i="4" s="1"/>
  <c r="D154" i="4"/>
  <c r="J148" i="21"/>
  <c r="B148" i="19"/>
  <c r="J145" i="31"/>
  <c r="J147" i="27"/>
  <c r="E150" i="22"/>
  <c r="F150" i="22" s="1"/>
  <c r="D151" i="22" s="1"/>
  <c r="B151" i="22" s="1"/>
  <c r="E148" i="19"/>
  <c r="F148" i="19" s="1"/>
  <c r="H148" i="19" s="1"/>
  <c r="E145" i="35"/>
  <c r="F145" i="35" s="1"/>
  <c r="E141" i="37"/>
  <c r="F141" i="37" s="1"/>
  <c r="E146" i="31"/>
  <c r="F146" i="31" s="1"/>
  <c r="H148" i="27"/>
  <c r="G148" i="27"/>
  <c r="I148" i="27" s="1"/>
  <c r="D149" i="27"/>
  <c r="B149" i="27" s="1"/>
  <c r="H149" i="21"/>
  <c r="D150" i="21"/>
  <c r="B150" i="21" s="1"/>
  <c r="G149" i="21"/>
  <c r="I149" i="21" s="1"/>
  <c r="G140" i="39"/>
  <c r="I140" i="39" s="1"/>
  <c r="D141" i="39"/>
  <c r="B141" i="39" s="1"/>
  <c r="E141" i="39"/>
  <c r="F141" i="39" s="1"/>
  <c r="G150" i="22"/>
  <c r="I150" i="22" s="1"/>
  <c r="H149" i="26"/>
  <c r="G149" i="26"/>
  <c r="I149" i="26" s="1"/>
  <c r="J149" i="26" s="1"/>
  <c r="D150" i="26"/>
  <c r="B150" i="26" s="1"/>
  <c r="H152" i="29"/>
  <c r="G152" i="29"/>
  <c r="I152" i="29" s="1"/>
  <c r="D153" i="29"/>
  <c r="E153" i="29" s="1"/>
  <c r="F153" i="29" s="1"/>
  <c r="H149" i="24"/>
  <c r="D150" i="24"/>
  <c r="B150" i="24" s="1"/>
  <c r="G149" i="24"/>
  <c r="I149" i="24" s="1"/>
  <c r="J149" i="24" s="1"/>
  <c r="G145" i="25"/>
  <c r="I145" i="25" s="1"/>
  <c r="D146" i="25"/>
  <c r="H155" i="23"/>
  <c r="H156" i="23" s="1"/>
  <c r="J154" i="3"/>
  <c r="J148" i="24"/>
  <c r="I156" i="23"/>
  <c r="B155" i="3"/>
  <c r="F155" i="3"/>
  <c r="G155" i="3" s="1"/>
  <c r="B145" i="25"/>
  <c r="H145" i="25"/>
  <c r="D148" i="34" l="1"/>
  <c r="G147" i="34"/>
  <c r="I147" i="34" s="1"/>
  <c r="B147" i="34"/>
  <c r="H147" i="34"/>
  <c r="H150" i="22"/>
  <c r="J149" i="21"/>
  <c r="E153" i="18"/>
  <c r="F153" i="18" s="1"/>
  <c r="E148" i="34"/>
  <c r="F148" i="34" s="1"/>
  <c r="J152" i="18"/>
  <c r="E150" i="26"/>
  <c r="F150" i="26" s="1"/>
  <c r="G151" i="38"/>
  <c r="I151" i="38" s="1"/>
  <c r="D152" i="38"/>
  <c r="E152" i="38"/>
  <c r="F152" i="38" s="1"/>
  <c r="B154" i="4"/>
  <c r="J155" i="23"/>
  <c r="J156" i="23" s="1"/>
  <c r="B151" i="38"/>
  <c r="H151" i="38"/>
  <c r="D149" i="19"/>
  <c r="G148" i="19"/>
  <c r="I148" i="19" s="1"/>
  <c r="J148" i="19" s="1"/>
  <c r="E149" i="19"/>
  <c r="F149" i="19" s="1"/>
  <c r="E150" i="24"/>
  <c r="F150" i="24" s="1"/>
  <c r="D151" i="24" s="1"/>
  <c r="J150" i="22"/>
  <c r="E154" i="4"/>
  <c r="F154" i="4" s="1"/>
  <c r="H153" i="29"/>
  <c r="D154" i="29"/>
  <c r="G153" i="29"/>
  <c r="I153" i="29" s="1"/>
  <c r="E154" i="29"/>
  <c r="F154" i="29" s="1"/>
  <c r="E150" i="21"/>
  <c r="F150" i="21" s="1"/>
  <c r="H146" i="31"/>
  <c r="D147" i="31"/>
  <c r="B147" i="31" s="1"/>
  <c r="G146" i="31"/>
  <c r="I146" i="31" s="1"/>
  <c r="H150" i="24"/>
  <c r="E151" i="22"/>
  <c r="F151" i="22" s="1"/>
  <c r="E149" i="27"/>
  <c r="F149" i="27" s="1"/>
  <c r="H150" i="26"/>
  <c r="G150" i="26"/>
  <c r="I150" i="26" s="1"/>
  <c r="D151" i="26"/>
  <c r="B151" i="26" s="1"/>
  <c r="H141" i="39"/>
  <c r="D142" i="39"/>
  <c r="G141" i="39"/>
  <c r="I141" i="39" s="1"/>
  <c r="E142" i="39"/>
  <c r="F142" i="39" s="1"/>
  <c r="H141" i="37"/>
  <c r="D142" i="37"/>
  <c r="B142" i="37" s="1"/>
  <c r="G141" i="37"/>
  <c r="I141" i="37" s="1"/>
  <c r="H155" i="3"/>
  <c r="H156" i="3" s="1"/>
  <c r="I155" i="3"/>
  <c r="E146" i="25"/>
  <c r="F146" i="25" s="1"/>
  <c r="B146" i="25"/>
  <c r="J148" i="27"/>
  <c r="H145" i="35"/>
  <c r="D146" i="35"/>
  <c r="B146" i="35" s="1"/>
  <c r="G145" i="35"/>
  <c r="I145" i="35" s="1"/>
  <c r="G148" i="34" l="1"/>
  <c r="I148" i="34" s="1"/>
  <c r="D149" i="34"/>
  <c r="H153" i="18"/>
  <c r="G153" i="18"/>
  <c r="I153" i="18" s="1"/>
  <c r="J153" i="18" s="1"/>
  <c r="D154" i="18"/>
  <c r="E154" i="18"/>
  <c r="F154" i="18" s="1"/>
  <c r="B148" i="34"/>
  <c r="H148" i="34"/>
  <c r="B151" i="24"/>
  <c r="E151" i="24"/>
  <c r="F151" i="24" s="1"/>
  <c r="J146" i="31"/>
  <c r="D155" i="4"/>
  <c r="G154" i="4"/>
  <c r="I154" i="4" s="1"/>
  <c r="H154" i="4"/>
  <c r="G149" i="19"/>
  <c r="I149" i="19" s="1"/>
  <c r="J149" i="19" s="1"/>
  <c r="D150" i="19"/>
  <c r="E150" i="19" s="1"/>
  <c r="F150" i="19" s="1"/>
  <c r="G152" i="38"/>
  <c r="I152" i="38" s="1"/>
  <c r="D153" i="38"/>
  <c r="B152" i="38"/>
  <c r="H152" i="38"/>
  <c r="E142" i="37"/>
  <c r="F142" i="37" s="1"/>
  <c r="G142" i="37" s="1"/>
  <c r="I142" i="37" s="1"/>
  <c r="G150" i="24"/>
  <c r="I150" i="24" s="1"/>
  <c r="J150" i="24" s="1"/>
  <c r="B149" i="19"/>
  <c r="H149" i="19"/>
  <c r="H151" i="24"/>
  <c r="G151" i="24"/>
  <c r="I151" i="24" s="1"/>
  <c r="D152" i="24"/>
  <c r="B152" i="24" s="1"/>
  <c r="H150" i="21"/>
  <c r="D151" i="21"/>
  <c r="B151" i="21" s="1"/>
  <c r="G150" i="21"/>
  <c r="I150" i="21" s="1"/>
  <c r="J150" i="21" s="1"/>
  <c r="E151" i="21"/>
  <c r="F151" i="21" s="1"/>
  <c r="H149" i="27"/>
  <c r="D150" i="27"/>
  <c r="B150" i="27" s="1"/>
  <c r="G149" i="27"/>
  <c r="I149" i="27" s="1"/>
  <c r="E151" i="26"/>
  <c r="F151" i="26" s="1"/>
  <c r="H154" i="29"/>
  <c r="G154" i="29"/>
  <c r="I154" i="29" s="1"/>
  <c r="D155" i="29"/>
  <c r="E155" i="29" s="1"/>
  <c r="E156" i="29" s="1"/>
  <c r="H146" i="25"/>
  <c r="D147" i="25"/>
  <c r="B147" i="25" s="1"/>
  <c r="G146" i="25"/>
  <c r="I146" i="25" s="1"/>
  <c r="J150" i="26"/>
  <c r="H151" i="22"/>
  <c r="G151" i="22"/>
  <c r="I151" i="22" s="1"/>
  <c r="J151" i="22" s="1"/>
  <c r="D152" i="22"/>
  <c r="B152" i="22" s="1"/>
  <c r="H142" i="37"/>
  <c r="G142" i="39"/>
  <c r="I142" i="39" s="1"/>
  <c r="D143" i="39"/>
  <c r="E143" i="39"/>
  <c r="F143" i="39" s="1"/>
  <c r="E146" i="35"/>
  <c r="F146" i="35" s="1"/>
  <c r="J155" i="3"/>
  <c r="J156" i="3" s="1"/>
  <c r="I156" i="3"/>
  <c r="B142" i="39"/>
  <c r="H142" i="39"/>
  <c r="E147" i="31"/>
  <c r="F147" i="31" s="1"/>
  <c r="G154" i="18" l="1"/>
  <c r="I154" i="18" s="1"/>
  <c r="D155" i="18"/>
  <c r="B154" i="18"/>
  <c r="H154" i="18"/>
  <c r="B149" i="34"/>
  <c r="E149" i="34"/>
  <c r="F149" i="34" s="1"/>
  <c r="H149" i="34" s="1"/>
  <c r="J151" i="24"/>
  <c r="G150" i="19"/>
  <c r="I150" i="19" s="1"/>
  <c r="D151" i="19"/>
  <c r="B151" i="19" s="1"/>
  <c r="E152" i="22"/>
  <c r="F152" i="22" s="1"/>
  <c r="J154" i="4"/>
  <c r="E151" i="19"/>
  <c r="F151" i="19" s="1"/>
  <c r="H151" i="19" s="1"/>
  <c r="E155" i="4"/>
  <c r="E156" i="4" s="1"/>
  <c r="B155" i="4"/>
  <c r="B153" i="38"/>
  <c r="E153" i="38"/>
  <c r="F153" i="38" s="1"/>
  <c r="D143" i="37"/>
  <c r="B143" i="37" s="1"/>
  <c r="E147" i="25"/>
  <c r="F147" i="25" s="1"/>
  <c r="H147" i="25" s="1"/>
  <c r="E150" i="27"/>
  <c r="F150" i="27" s="1"/>
  <c r="G150" i="27" s="1"/>
  <c r="I150" i="27" s="1"/>
  <c r="E152" i="24"/>
  <c r="F152" i="24" s="1"/>
  <c r="H152" i="24" s="1"/>
  <c r="J149" i="27"/>
  <c r="B150" i="19"/>
  <c r="H150" i="19"/>
  <c r="B143" i="39"/>
  <c r="H143" i="39"/>
  <c r="F155" i="29"/>
  <c r="G155" i="29" s="1"/>
  <c r="I155" i="29" s="1"/>
  <c r="I156" i="29" s="1"/>
  <c r="H151" i="21"/>
  <c r="D152" i="21"/>
  <c r="B152" i="21" s="1"/>
  <c r="G151" i="21"/>
  <c r="I151" i="21" s="1"/>
  <c r="D144" i="39"/>
  <c r="G143" i="39"/>
  <c r="I143" i="39" s="1"/>
  <c r="E144" i="39"/>
  <c r="F144" i="39" s="1"/>
  <c r="G151" i="19"/>
  <c r="I151" i="19" s="1"/>
  <c r="G147" i="25"/>
  <c r="I147" i="25" s="1"/>
  <c r="D148" i="25"/>
  <c r="B148" i="25" s="1"/>
  <c r="H150" i="27"/>
  <c r="H146" i="35"/>
  <c r="G146" i="35"/>
  <c r="I146" i="35" s="1"/>
  <c r="D147" i="35"/>
  <c r="B147" i="35" s="1"/>
  <c r="H152" i="22"/>
  <c r="D153" i="22"/>
  <c r="B153" i="22" s="1"/>
  <c r="G152" i="22"/>
  <c r="I152" i="22" s="1"/>
  <c r="J152" i="22" s="1"/>
  <c r="E153" i="22"/>
  <c r="F153" i="22" s="1"/>
  <c r="H147" i="31"/>
  <c r="G147" i="31"/>
  <c r="I147" i="31" s="1"/>
  <c r="J147" i="31" s="1"/>
  <c r="D148" i="31"/>
  <c r="B148" i="31" s="1"/>
  <c r="H151" i="26"/>
  <c r="G151" i="26"/>
  <c r="I151" i="26" s="1"/>
  <c r="D152" i="26"/>
  <c r="B152" i="26" s="1"/>
  <c r="J151" i="26" l="1"/>
  <c r="J151" i="21"/>
  <c r="H155" i="29"/>
  <c r="H156" i="29" s="1"/>
  <c r="J150" i="27"/>
  <c r="B155" i="18"/>
  <c r="E155" i="18"/>
  <c r="G149" i="34"/>
  <c r="I149" i="34" s="1"/>
  <c r="D150" i="34"/>
  <c r="J154" i="18"/>
  <c r="E148" i="25"/>
  <c r="F148" i="25" s="1"/>
  <c r="G152" i="24"/>
  <c r="I152" i="24" s="1"/>
  <c r="J152" i="24" s="1"/>
  <c r="G153" i="38"/>
  <c r="I153" i="38" s="1"/>
  <c r="H153" i="38"/>
  <c r="D154" i="38"/>
  <c r="D153" i="24"/>
  <c r="B153" i="24" s="1"/>
  <c r="D151" i="27"/>
  <c r="B151" i="27" s="1"/>
  <c r="D152" i="19"/>
  <c r="B152" i="19" s="1"/>
  <c r="J151" i="19"/>
  <c r="E143" i="37"/>
  <c r="F143" i="37" s="1"/>
  <c r="E152" i="21"/>
  <c r="F152" i="21" s="1"/>
  <c r="H152" i="21" s="1"/>
  <c r="F155" i="4"/>
  <c r="J150" i="19"/>
  <c r="E152" i="26"/>
  <c r="F152" i="26" s="1"/>
  <c r="G152" i="21"/>
  <c r="I152" i="21" s="1"/>
  <c r="D153" i="21"/>
  <c r="B153" i="21" s="1"/>
  <c r="D145" i="39"/>
  <c r="G144" i="39"/>
  <c r="I144" i="39" s="1"/>
  <c r="H148" i="25"/>
  <c r="D149" i="25"/>
  <c r="B149" i="25" s="1"/>
  <c r="G148" i="25"/>
  <c r="I148" i="25" s="1"/>
  <c r="B144" i="39"/>
  <c r="H144" i="39"/>
  <c r="H143" i="37"/>
  <c r="D144" i="37"/>
  <c r="B144" i="37" s="1"/>
  <c r="G143" i="37"/>
  <c r="I143" i="37" s="1"/>
  <c r="H153" i="22"/>
  <c r="D154" i="22"/>
  <c r="B154" i="22" s="1"/>
  <c r="G153" i="22"/>
  <c r="I153" i="22" s="1"/>
  <c r="E148" i="31"/>
  <c r="F148" i="31" s="1"/>
  <c r="E147" i="35"/>
  <c r="F147" i="35" s="1"/>
  <c r="E151" i="27"/>
  <c r="F151" i="27" s="1"/>
  <c r="E152" i="19"/>
  <c r="F152" i="19" s="1"/>
  <c r="B150" i="34" l="1"/>
  <c r="E156" i="18"/>
  <c r="F155" i="18"/>
  <c r="J152" i="21"/>
  <c r="E150" i="34"/>
  <c r="F150" i="34" s="1"/>
  <c r="E153" i="24"/>
  <c r="F153" i="24" s="1"/>
  <c r="H153" i="24" s="1"/>
  <c r="B154" i="38"/>
  <c r="J153" i="22"/>
  <c r="E154" i="38"/>
  <c r="F154" i="38" s="1"/>
  <c r="G155" i="4"/>
  <c r="I155" i="4" s="1"/>
  <c r="H155" i="4"/>
  <c r="H156" i="4" s="1"/>
  <c r="E149" i="25"/>
  <c r="F149" i="25" s="1"/>
  <c r="H149" i="25" s="1"/>
  <c r="E153" i="21"/>
  <c r="F153" i="21" s="1"/>
  <c r="B145" i="39"/>
  <c r="E145" i="39"/>
  <c r="F145" i="39" s="1"/>
  <c r="H152" i="26"/>
  <c r="D153" i="26"/>
  <c r="B153" i="26" s="1"/>
  <c r="G152" i="26"/>
  <c r="I152" i="26" s="1"/>
  <c r="J152" i="26" s="1"/>
  <c r="E153" i="26"/>
  <c r="F153" i="26" s="1"/>
  <c r="H147" i="35"/>
  <c r="G147" i="35"/>
  <c r="I147" i="35" s="1"/>
  <c r="D148" i="35"/>
  <c r="B148" i="35" s="1"/>
  <c r="H148" i="31"/>
  <c r="G148" i="31"/>
  <c r="I148" i="31" s="1"/>
  <c r="J148" i="31" s="1"/>
  <c r="D149" i="31"/>
  <c r="B149" i="31" s="1"/>
  <c r="E149" i="31"/>
  <c r="F149" i="31" s="1"/>
  <c r="H152" i="19"/>
  <c r="G152" i="19"/>
  <c r="I152" i="19" s="1"/>
  <c r="J152" i="19" s="1"/>
  <c r="D153" i="19"/>
  <c r="B153" i="19" s="1"/>
  <c r="H151" i="27"/>
  <c r="G151" i="27"/>
  <c r="I151" i="27" s="1"/>
  <c r="J151" i="27" s="1"/>
  <c r="D152" i="27"/>
  <c r="B152" i="27" s="1"/>
  <c r="E154" i="22"/>
  <c r="F154" i="22" s="1"/>
  <c r="E144" i="37"/>
  <c r="F144" i="37" s="1"/>
  <c r="G150" i="34" l="1"/>
  <c r="I150" i="34" s="1"/>
  <c r="D151" i="34"/>
  <c r="E151" i="34" s="1"/>
  <c r="F151" i="34" s="1"/>
  <c r="G155" i="18"/>
  <c r="I155" i="18" s="1"/>
  <c r="H155" i="18"/>
  <c r="H156" i="18" s="1"/>
  <c r="E150" i="25"/>
  <c r="F150" i="25" s="1"/>
  <c r="D151" i="25" s="1"/>
  <c r="B151" i="25" s="1"/>
  <c r="G149" i="25"/>
  <c r="I149" i="25" s="1"/>
  <c r="H150" i="34"/>
  <c r="D150" i="25"/>
  <c r="B150" i="25" s="1"/>
  <c r="G154" i="38"/>
  <c r="I154" i="38" s="1"/>
  <c r="D155" i="38"/>
  <c r="H154" i="38"/>
  <c r="E148" i="35"/>
  <c r="F148" i="35" s="1"/>
  <c r="H148" i="35" s="1"/>
  <c r="J155" i="4"/>
  <c r="J156" i="4" s="1"/>
  <c r="I156" i="4"/>
  <c r="D154" i="24"/>
  <c r="G153" i="24"/>
  <c r="I153" i="24" s="1"/>
  <c r="J153" i="24" s="1"/>
  <c r="E154" i="24"/>
  <c r="F154" i="24" s="1"/>
  <c r="G148" i="35"/>
  <c r="I148" i="35" s="1"/>
  <c r="H144" i="37"/>
  <c r="D145" i="37"/>
  <c r="B145" i="37" s="1"/>
  <c r="G144" i="37"/>
  <c r="I144" i="37" s="1"/>
  <c r="E153" i="19"/>
  <c r="F153" i="19" s="1"/>
  <c r="H149" i="31"/>
  <c r="D150" i="31"/>
  <c r="B150" i="31" s="1"/>
  <c r="G149" i="31"/>
  <c r="I149" i="31" s="1"/>
  <c r="J149" i="31" s="1"/>
  <c r="H150" i="25"/>
  <c r="H153" i="26"/>
  <c r="G153" i="26"/>
  <c r="I153" i="26" s="1"/>
  <c r="D154" i="26"/>
  <c r="B154" i="26" s="1"/>
  <c r="D146" i="39"/>
  <c r="G145" i="39"/>
  <c r="I145" i="39" s="1"/>
  <c r="E146" i="39"/>
  <c r="F146" i="39" s="1"/>
  <c r="H145" i="39"/>
  <c r="H154" i="22"/>
  <c r="D155" i="22"/>
  <c r="G154" i="22"/>
  <c r="I154" i="22" s="1"/>
  <c r="E152" i="27"/>
  <c r="F152" i="27" s="1"/>
  <c r="H153" i="21"/>
  <c r="D154" i="21"/>
  <c r="B154" i="21" s="1"/>
  <c r="G153" i="21"/>
  <c r="I153" i="21" s="1"/>
  <c r="J153" i="21" s="1"/>
  <c r="G151" i="34" l="1"/>
  <c r="I151" i="34" s="1"/>
  <c r="D152" i="34"/>
  <c r="E152" i="34" s="1"/>
  <c r="F152" i="34" s="1"/>
  <c r="D149" i="35"/>
  <c r="I156" i="18"/>
  <c r="J155" i="18"/>
  <c r="J156" i="18" s="1"/>
  <c r="B151" i="34"/>
  <c r="H151" i="34"/>
  <c r="G150" i="25"/>
  <c r="I150" i="25" s="1"/>
  <c r="E154" i="21"/>
  <c r="F154" i="21" s="1"/>
  <c r="E151" i="25"/>
  <c r="F151" i="25" s="1"/>
  <c r="E145" i="37"/>
  <c r="F145" i="37" s="1"/>
  <c r="D146" i="37" s="1"/>
  <c r="B146" i="37" s="1"/>
  <c r="G154" i="24"/>
  <c r="I154" i="24" s="1"/>
  <c r="D155" i="24"/>
  <c r="E155" i="38"/>
  <c r="E156" i="38" s="1"/>
  <c r="B155" i="38"/>
  <c r="J154" i="22"/>
  <c r="J153" i="26"/>
  <c r="B154" i="24"/>
  <c r="H154" i="24"/>
  <c r="H154" i="21"/>
  <c r="G154" i="21"/>
  <c r="I154" i="21" s="1"/>
  <c r="J154" i="21" s="1"/>
  <c r="D155" i="21"/>
  <c r="E155" i="21" s="1"/>
  <c r="E156" i="21" s="1"/>
  <c r="H151" i="25"/>
  <c r="G151" i="25"/>
  <c r="I151" i="25" s="1"/>
  <c r="D152" i="25"/>
  <c r="B152" i="25" s="1"/>
  <c r="H153" i="19"/>
  <c r="D154" i="19"/>
  <c r="B154" i="19" s="1"/>
  <c r="G153" i="19"/>
  <c r="I153" i="19" s="1"/>
  <c r="D147" i="39"/>
  <c r="B147" i="39" s="1"/>
  <c r="G146" i="39"/>
  <c r="I146" i="39" s="1"/>
  <c r="H145" i="37"/>
  <c r="G145" i="37"/>
  <c r="I145" i="37" s="1"/>
  <c r="B155" i="22"/>
  <c r="H152" i="27"/>
  <c r="D153" i="27"/>
  <c r="B153" i="27" s="1"/>
  <c r="G152" i="27"/>
  <c r="I152" i="27" s="1"/>
  <c r="J152" i="27" s="1"/>
  <c r="B146" i="39"/>
  <c r="H146" i="39"/>
  <c r="E155" i="22"/>
  <c r="E156" i="22" s="1"/>
  <c r="E154" i="26"/>
  <c r="F154" i="26" s="1"/>
  <c r="E150" i="31"/>
  <c r="F150" i="31" s="1"/>
  <c r="G152" i="34" l="1"/>
  <c r="I152" i="34" s="1"/>
  <c r="D153" i="34"/>
  <c r="E153" i="34"/>
  <c r="F153" i="34" s="1"/>
  <c r="B149" i="35"/>
  <c r="E149" i="35"/>
  <c r="F149" i="35" s="1"/>
  <c r="E147" i="39"/>
  <c r="F147" i="39" s="1"/>
  <c r="H147" i="39" s="1"/>
  <c r="B152" i="34"/>
  <c r="H152" i="34"/>
  <c r="F155" i="38"/>
  <c r="E155" i="24"/>
  <c r="E156" i="24" s="1"/>
  <c r="B155" i="24"/>
  <c r="F155" i="24"/>
  <c r="G155" i="24" s="1"/>
  <c r="I155" i="24" s="1"/>
  <c r="H155" i="24"/>
  <c r="H156" i="24" s="1"/>
  <c r="E152" i="25"/>
  <c r="F152" i="25" s="1"/>
  <c r="D153" i="25" s="1"/>
  <c r="B153" i="25" s="1"/>
  <c r="J154" i="24"/>
  <c r="E153" i="27"/>
  <c r="F153" i="27" s="1"/>
  <c r="H153" i="27" s="1"/>
  <c r="H154" i="26"/>
  <c r="G154" i="26"/>
  <c r="I154" i="26" s="1"/>
  <c r="J154" i="26" s="1"/>
  <c r="D155" i="26"/>
  <c r="E155" i="26" s="1"/>
  <c r="E156" i="26" s="1"/>
  <c r="F155" i="22"/>
  <c r="B155" i="21"/>
  <c r="F155" i="21"/>
  <c r="G155" i="21" s="1"/>
  <c r="I155" i="21" s="1"/>
  <c r="H155" i="21"/>
  <c r="H156" i="21" s="1"/>
  <c r="D148" i="39"/>
  <c r="E148" i="39"/>
  <c r="F148" i="39" s="1"/>
  <c r="E154" i="19"/>
  <c r="F154" i="19" s="1"/>
  <c r="H152" i="25"/>
  <c r="H150" i="31"/>
  <c r="D151" i="31"/>
  <c r="B151" i="31" s="1"/>
  <c r="G150" i="31"/>
  <c r="I150" i="31" s="1"/>
  <c r="E146" i="37"/>
  <c r="F146" i="37" s="1"/>
  <c r="J153" i="19"/>
  <c r="G149" i="35" l="1"/>
  <c r="I149" i="35" s="1"/>
  <c r="H149" i="35"/>
  <c r="D150" i="35"/>
  <c r="G147" i="39"/>
  <c r="I147" i="39" s="1"/>
  <c r="D154" i="34"/>
  <c r="E154" i="34" s="1"/>
  <c r="F154" i="34" s="1"/>
  <c r="G153" i="34"/>
  <c r="I153" i="34" s="1"/>
  <c r="B153" i="34"/>
  <c r="H153" i="34"/>
  <c r="G152" i="25"/>
  <c r="I152" i="25" s="1"/>
  <c r="G153" i="27"/>
  <c r="I153" i="27" s="1"/>
  <c r="J153" i="27" s="1"/>
  <c r="I156" i="24"/>
  <c r="J155" i="24"/>
  <c r="J156" i="24" s="1"/>
  <c r="D154" i="27"/>
  <c r="B154" i="27" s="1"/>
  <c r="E151" i="31"/>
  <c r="F151" i="31" s="1"/>
  <c r="H151" i="31" s="1"/>
  <c r="J150" i="31"/>
  <c r="G155" i="38"/>
  <c r="I155" i="38" s="1"/>
  <c r="I156" i="38" s="1"/>
  <c r="H155" i="38"/>
  <c r="H156" i="38" s="1"/>
  <c r="G155" i="22"/>
  <c r="I155" i="22" s="1"/>
  <c r="H155" i="22"/>
  <c r="H156" i="22" s="1"/>
  <c r="H146" i="37"/>
  <c r="G146" i="37"/>
  <c r="I146" i="37" s="1"/>
  <c r="D147" i="37"/>
  <c r="B147" i="37" s="1"/>
  <c r="B155" i="26"/>
  <c r="F155" i="26"/>
  <c r="G155" i="26" s="1"/>
  <c r="I155" i="26" s="1"/>
  <c r="H154" i="19"/>
  <c r="G154" i="19"/>
  <c r="I154" i="19" s="1"/>
  <c r="D155" i="19"/>
  <c r="D149" i="39"/>
  <c r="E149" i="39" s="1"/>
  <c r="F149" i="39" s="1"/>
  <c r="G148" i="39"/>
  <c r="I148" i="39" s="1"/>
  <c r="B148" i="39"/>
  <c r="H148" i="39"/>
  <c r="J155" i="21"/>
  <c r="J156" i="21" s="1"/>
  <c r="I156" i="21"/>
  <c r="E153" i="25"/>
  <c r="F153" i="25" s="1"/>
  <c r="G154" i="34" l="1"/>
  <c r="I154" i="34" s="1"/>
  <c r="D155" i="34"/>
  <c r="B154" i="34"/>
  <c r="H154" i="34"/>
  <c r="B150" i="35"/>
  <c r="E150" i="35"/>
  <c r="F150" i="35" s="1"/>
  <c r="J154" i="19"/>
  <c r="E147" i="37"/>
  <c r="F147" i="37" s="1"/>
  <c r="G147" i="37" s="1"/>
  <c r="I147" i="37" s="1"/>
  <c r="G151" i="31"/>
  <c r="I151" i="31" s="1"/>
  <c r="J151" i="31" s="1"/>
  <c r="D152" i="31"/>
  <c r="E154" i="27"/>
  <c r="F154" i="27" s="1"/>
  <c r="B155" i="19"/>
  <c r="J155" i="22"/>
  <c r="J156" i="22" s="1"/>
  <c r="I156" i="22"/>
  <c r="H147" i="37"/>
  <c r="D148" i="37"/>
  <c r="B148" i="37" s="1"/>
  <c r="I156" i="26"/>
  <c r="B149" i="39"/>
  <c r="H149" i="39"/>
  <c r="G149" i="39"/>
  <c r="I149" i="39" s="1"/>
  <c r="D150" i="39"/>
  <c r="H153" i="25"/>
  <c r="D154" i="25"/>
  <c r="B154" i="25" s="1"/>
  <c r="G153" i="25"/>
  <c r="I153" i="25" s="1"/>
  <c r="E154" i="25"/>
  <c r="F154" i="25" s="1"/>
  <c r="E155" i="19"/>
  <c r="E156" i="19" s="1"/>
  <c r="H155" i="26"/>
  <c r="H156" i="26" s="1"/>
  <c r="D151" i="35" l="1"/>
  <c r="B151" i="35" s="1"/>
  <c r="H150" i="35"/>
  <c r="G150" i="35"/>
  <c r="I150" i="35" s="1"/>
  <c r="E151" i="35"/>
  <c r="F151" i="35" s="1"/>
  <c r="E148" i="37"/>
  <c r="F148" i="37" s="1"/>
  <c r="H148" i="37" s="1"/>
  <c r="E155" i="34"/>
  <c r="E156" i="34" s="1"/>
  <c r="B155" i="34"/>
  <c r="F155" i="34"/>
  <c r="G155" i="34" s="1"/>
  <c r="I155" i="34" s="1"/>
  <c r="I156" i="34" s="1"/>
  <c r="D155" i="27"/>
  <c r="G154" i="27"/>
  <c r="I154" i="27" s="1"/>
  <c r="H154" i="27"/>
  <c r="B152" i="31"/>
  <c r="E152" i="31"/>
  <c r="F152" i="31" s="1"/>
  <c r="J155" i="26"/>
  <c r="J156" i="26" s="1"/>
  <c r="B150" i="39"/>
  <c r="H150" i="39"/>
  <c r="D149" i="37"/>
  <c r="B149" i="37" s="1"/>
  <c r="H151" i="35"/>
  <c r="D152" i="35"/>
  <c r="B152" i="35" s="1"/>
  <c r="G151" i="35"/>
  <c r="I151" i="35" s="1"/>
  <c r="F155" i="19"/>
  <c r="E150" i="39"/>
  <c r="F150" i="39" s="1"/>
  <c r="H154" i="25"/>
  <c r="G154" i="25"/>
  <c r="I154" i="25" s="1"/>
  <c r="D155" i="25"/>
  <c r="E155" i="25" s="1"/>
  <c r="E156" i="25" s="1"/>
  <c r="E149" i="37" l="1"/>
  <c r="F149" i="37" s="1"/>
  <c r="G148" i="37"/>
  <c r="I148" i="37" s="1"/>
  <c r="H155" i="34"/>
  <c r="H156" i="34" s="1"/>
  <c r="D153" i="31"/>
  <c r="G152" i="31"/>
  <c r="I152" i="31" s="1"/>
  <c r="H152" i="31"/>
  <c r="J154" i="27"/>
  <c r="B155" i="27"/>
  <c r="E155" i="27"/>
  <c r="E156" i="27" s="1"/>
  <c r="B155" i="25"/>
  <c r="F155" i="25"/>
  <c r="G155" i="25" s="1"/>
  <c r="I155" i="25" s="1"/>
  <c r="I156" i="25" s="1"/>
  <c r="H155" i="25"/>
  <c r="H156" i="25" s="1"/>
  <c r="H149" i="37"/>
  <c r="D150" i="37"/>
  <c r="B150" i="37" s="1"/>
  <c r="G149" i="37"/>
  <c r="I149" i="37" s="1"/>
  <c r="G155" i="19"/>
  <c r="I155" i="19" s="1"/>
  <c r="H155" i="19"/>
  <c r="H156" i="19" s="1"/>
  <c r="D151" i="39"/>
  <c r="G150" i="39"/>
  <c r="I150" i="39" s="1"/>
  <c r="E152" i="35"/>
  <c r="F152" i="35" s="1"/>
  <c r="F155" i="27" l="1"/>
  <c r="J152" i="31"/>
  <c r="E153" i="31"/>
  <c r="F153" i="31" s="1"/>
  <c r="H153" i="31" s="1"/>
  <c r="B153" i="31"/>
  <c r="J155" i="19"/>
  <c r="J156" i="19" s="1"/>
  <c r="I156" i="19"/>
  <c r="E150" i="37"/>
  <c r="F150" i="37" s="1"/>
  <c r="B151" i="39"/>
  <c r="H152" i="35"/>
  <c r="G152" i="35"/>
  <c r="I152" i="35" s="1"/>
  <c r="D153" i="35"/>
  <c r="B153" i="35" s="1"/>
  <c r="E151" i="39"/>
  <c r="F151" i="39" s="1"/>
  <c r="D154" i="31" l="1"/>
  <c r="E154" i="31" s="1"/>
  <c r="F154" i="31" s="1"/>
  <c r="G153" i="31"/>
  <c r="I153" i="31" s="1"/>
  <c r="J153" i="31" s="1"/>
  <c r="E153" i="35"/>
  <c r="F153" i="35" s="1"/>
  <c r="G155" i="27"/>
  <c r="I155" i="27" s="1"/>
  <c r="H155" i="27"/>
  <c r="H156" i="27" s="1"/>
  <c r="D152" i="39"/>
  <c r="B152" i="39" s="1"/>
  <c r="G151" i="39"/>
  <c r="I151" i="39" s="1"/>
  <c r="H150" i="37"/>
  <c r="G150" i="37"/>
  <c r="I150" i="37" s="1"/>
  <c r="D151" i="37"/>
  <c r="B151" i="37" s="1"/>
  <c r="H153" i="35"/>
  <c r="D154" i="35"/>
  <c r="B154" i="35" s="1"/>
  <c r="G153" i="35"/>
  <c r="I153" i="35" s="1"/>
  <c r="H151" i="39"/>
  <c r="I156" i="27" l="1"/>
  <c r="J155" i="27"/>
  <c r="J156" i="27" s="1"/>
  <c r="D155" i="31"/>
  <c r="G154" i="31"/>
  <c r="I154" i="31" s="1"/>
  <c r="E152" i="39"/>
  <c r="F152" i="39" s="1"/>
  <c r="H152" i="39" s="1"/>
  <c r="H154" i="31"/>
  <c r="B154" i="31"/>
  <c r="E151" i="37"/>
  <c r="F151" i="37" s="1"/>
  <c r="E154" i="35"/>
  <c r="F154" i="35" s="1"/>
  <c r="G152" i="39" l="1"/>
  <c r="I152" i="39" s="1"/>
  <c r="D153" i="39"/>
  <c r="J154" i="31"/>
  <c r="B155" i="31"/>
  <c r="E155" i="31"/>
  <c r="E156" i="31" s="1"/>
  <c r="B153" i="39"/>
  <c r="H154" i="35"/>
  <c r="G154" i="35"/>
  <c r="I154" i="35" s="1"/>
  <c r="D155" i="35"/>
  <c r="E153" i="39"/>
  <c r="F153" i="39" s="1"/>
  <c r="H151" i="37"/>
  <c r="D152" i="37"/>
  <c r="B152" i="37" s="1"/>
  <c r="G151" i="37"/>
  <c r="I151" i="37" s="1"/>
  <c r="E152" i="37"/>
  <c r="F152" i="37" s="1"/>
  <c r="F155" i="31" l="1"/>
  <c r="D154" i="39"/>
  <c r="G153" i="39"/>
  <c r="I153" i="39" s="1"/>
  <c r="B155" i="35"/>
  <c r="H152" i="37"/>
  <c r="D153" i="37"/>
  <c r="B153" i="37" s="1"/>
  <c r="G152" i="37"/>
  <c r="I152" i="37" s="1"/>
  <c r="H153" i="39"/>
  <c r="E155" i="35"/>
  <c r="E156" i="35" s="1"/>
  <c r="G155" i="31" l="1"/>
  <c r="I155" i="31" s="1"/>
  <c r="H155" i="31"/>
  <c r="H156" i="31" s="1"/>
  <c r="F155" i="35"/>
  <c r="E153" i="37"/>
  <c r="F153" i="37" s="1"/>
  <c r="E154" i="39"/>
  <c r="F154" i="39" s="1"/>
  <c r="B154" i="39"/>
  <c r="H154" i="39"/>
  <c r="J155" i="31" l="1"/>
  <c r="J156" i="31" s="1"/>
  <c r="I156" i="31"/>
  <c r="G154" i="39"/>
  <c r="I154" i="39" s="1"/>
  <c r="D155" i="39"/>
  <c r="E155" i="39" s="1"/>
  <c r="E156" i="39" s="1"/>
  <c r="H153" i="37"/>
  <c r="D154" i="37"/>
  <c r="B154" i="37" s="1"/>
  <c r="G153" i="37"/>
  <c r="I153" i="37" s="1"/>
  <c r="G155" i="35"/>
  <c r="I155" i="35" s="1"/>
  <c r="I156" i="35" s="1"/>
  <c r="H155" i="35"/>
  <c r="H156" i="35" s="1"/>
  <c r="E154" i="37" l="1"/>
  <c r="F154" i="37" s="1"/>
  <c r="H154" i="37" s="1"/>
  <c r="D155" i="37"/>
  <c r="E155" i="37" s="1"/>
  <c r="E156" i="37" s="1"/>
  <c r="G154" i="37"/>
  <c r="I154" i="37" s="1"/>
  <c r="B155" i="39"/>
  <c r="F155" i="39"/>
  <c r="G155" i="39" s="1"/>
  <c r="I155" i="39" s="1"/>
  <c r="I156" i="39" s="1"/>
  <c r="B155" i="37" l="1"/>
  <c r="F155" i="37"/>
  <c r="G155" i="37" s="1"/>
  <c r="I155" i="37" s="1"/>
  <c r="I156" i="37" s="1"/>
  <c r="H155" i="39"/>
  <c r="H156" i="39" s="1"/>
  <c r="H155" i="37" l="1"/>
  <c r="H156" i="37" s="1"/>
  <c r="Q18" i="17" l="1"/>
  <c r="R18" i="17" s="1"/>
  <c r="Q20" i="17"/>
  <c r="R20" i="17" s="1"/>
  <c r="T20" i="17" s="1"/>
  <c r="Q40" i="17"/>
  <c r="R40" i="17" s="1"/>
  <c r="T40" i="17" s="1"/>
  <c r="Q26" i="17"/>
  <c r="R26" i="17" s="1"/>
  <c r="T26" i="17" s="1"/>
  <c r="Q27" i="17"/>
  <c r="R27" i="17" s="1"/>
  <c r="T27" i="17" s="1"/>
  <c r="Q34" i="17"/>
  <c r="R34" i="17" s="1"/>
  <c r="T34" i="17" s="1"/>
  <c r="Q19" i="17"/>
  <c r="R19" i="17" s="1"/>
  <c r="T19" i="17" s="1"/>
  <c r="Q36" i="17"/>
  <c r="R36" i="17" s="1"/>
  <c r="T36" i="17" s="1"/>
  <c r="Q38" i="17"/>
  <c r="R38" i="17" s="1"/>
  <c r="T38" i="17" s="1"/>
  <c r="Q35" i="17"/>
  <c r="R35" i="17" s="1"/>
  <c r="T35" i="17" s="1"/>
  <c r="Q37" i="17"/>
  <c r="R37" i="17" s="1"/>
  <c r="T37" i="17" s="1"/>
  <c r="Q22" i="17"/>
  <c r="R22" i="17" s="1"/>
  <c r="T22" i="17" s="1"/>
  <c r="Q39" i="17"/>
  <c r="R39" i="17" s="1"/>
  <c r="T39" i="17" s="1"/>
  <c r="Q21" i="17"/>
  <c r="R21" i="17" s="1"/>
  <c r="T21" i="17" s="1"/>
  <c r="Q42" i="17"/>
  <c r="R42" i="17" s="1"/>
  <c r="T42" i="17" s="1"/>
  <c r="Q29" i="17"/>
  <c r="R29" i="17" s="1"/>
  <c r="T29" i="17" s="1"/>
  <c r="Q32" i="17"/>
  <c r="R32" i="17" s="1"/>
  <c r="T32" i="17" s="1"/>
  <c r="Q41" i="17"/>
  <c r="R41" i="17" s="1"/>
  <c r="T41" i="17" s="1"/>
  <c r="Q30" i="17"/>
  <c r="R30" i="17" s="1"/>
  <c r="T30" i="17" s="1"/>
  <c r="Q25" i="17"/>
  <c r="R25" i="17" s="1"/>
  <c r="T25" i="17" s="1"/>
  <c r="Q23" i="17"/>
  <c r="R23" i="17" s="1"/>
  <c r="T23" i="17" s="1"/>
  <c r="Q33" i="17"/>
  <c r="R33" i="17" s="1"/>
  <c r="T33" i="17" s="1"/>
  <c r="Q24" i="17"/>
  <c r="R24" i="17" s="1"/>
  <c r="T24" i="17" s="1"/>
  <c r="Q43" i="17"/>
  <c r="R43" i="17" s="1"/>
  <c r="T43" i="17" s="1"/>
  <c r="Q28" i="17"/>
  <c r="R28" i="17" s="1"/>
  <c r="T28" i="17" s="1"/>
  <c r="Q31" i="17"/>
  <c r="R31" i="17" s="1"/>
  <c r="T31" i="17" s="1"/>
  <c r="T18" i="17" l="1"/>
  <c r="T46" i="17" s="1"/>
  <c r="R46" i="17"/>
  <c r="E37" i="2" l="1"/>
  <c r="F54" i="2" s="1"/>
  <c r="F55" i="2" s="1"/>
  <c r="F62" i="2" s="1"/>
  <c r="F65" i="2" s="1"/>
  <c r="F67" i="2" s="1"/>
  <c r="F69" i="2" s="1"/>
  <c r="F70" i="2" s="1"/>
  <c r="F71" i="2" s="1"/>
  <c r="F56" i="2" s="1"/>
  <c r="F57" i="2" s="1"/>
  <c r="F59" i="2" l="1"/>
  <c r="F79" i="2" s="1"/>
  <c r="F80" i="2" s="1"/>
  <c r="F82" i="2" s="1"/>
  <c r="F76" i="2"/>
  <c r="F7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R.Pennybaker</author>
    <author>AEP</author>
  </authors>
  <commentList>
    <comment ref="C16" authorId="0" shapeId="0" xr:uid="{00000000-0006-0000-0000-000001000000}">
      <text>
        <r>
          <rPr>
            <b/>
            <sz val="8"/>
            <color indexed="81"/>
            <rFont val="Tahoma"/>
            <family val="2"/>
          </rPr>
          <t>R.Pennybaker:</t>
        </r>
        <r>
          <rPr>
            <sz val="8"/>
            <color indexed="81"/>
            <rFont val="Tahoma"/>
            <family val="2"/>
          </rPr>
          <t xml:space="preserve">
Project Descriptions are in cell [P.xxx]!$D$7]</t>
        </r>
      </text>
    </comment>
    <comment ref="D16" authorId="0" shapeId="0" xr:uid="{00000000-0006-0000-0000-000002000000}">
      <text>
        <r>
          <rPr>
            <b/>
            <sz val="8"/>
            <color indexed="81"/>
            <rFont val="Tahoma"/>
            <family val="2"/>
          </rPr>
          <t>R.Pennybaker:</t>
        </r>
        <r>
          <rPr>
            <sz val="8"/>
            <color indexed="81"/>
            <rFont val="Tahoma"/>
            <family val="2"/>
          </rPr>
          <t xml:space="preserve">
Year In Service is in cell [P.xxx]!$D$11]</t>
        </r>
      </text>
    </comment>
    <comment ref="E16" authorId="0" shapeId="0" xr:uid="{00000000-0006-0000-0000-000003000000}">
      <text>
        <r>
          <rPr>
            <b/>
            <sz val="8"/>
            <color indexed="81"/>
            <rFont val="Tahoma"/>
            <family val="2"/>
          </rPr>
          <t>R.Pennybaker:</t>
        </r>
        <r>
          <rPr>
            <sz val="8"/>
            <color indexed="81"/>
            <rFont val="Tahoma"/>
            <family val="2"/>
          </rPr>
          <t xml:space="preserve">
Projected Base ARR is in cell [P.xxx]!$N$5]</t>
        </r>
      </text>
    </comment>
    <comment ref="F16" authorId="0" shapeId="0" xr:uid="{00000000-0006-0000-0000-000004000000}">
      <text>
        <r>
          <rPr>
            <b/>
            <sz val="8"/>
            <color indexed="81"/>
            <rFont val="Tahoma"/>
            <family val="2"/>
          </rPr>
          <t>R.Pennybaker:</t>
        </r>
        <r>
          <rPr>
            <sz val="8"/>
            <color indexed="81"/>
            <rFont val="Tahoma"/>
            <family val="2"/>
          </rPr>
          <t xml:space="preserve">
Projected Incentive ARR is in WS-F cell N7.</t>
        </r>
      </text>
    </comment>
    <comment ref="I16" authorId="1" shapeId="0" xr:uid="{00000000-0006-0000-0000-000005000000}">
      <text>
        <r>
          <rPr>
            <b/>
            <sz val="8"/>
            <color indexed="81"/>
            <rFont val="Tahoma"/>
            <family val="2"/>
          </rPr>
          <t>AEP:</t>
        </r>
        <r>
          <rPr>
            <sz val="8"/>
            <color indexed="81"/>
            <rFont val="Tahoma"/>
            <family val="2"/>
          </rPr>
          <t xml:space="preserve">
"TRUE-UP Adjustment (i.e., Forecast Error) is from WS-G sheet [P.00x] in cell M89.</t>
        </r>
      </text>
    </comment>
    <comment ref="J16" authorId="1" shapeId="0" xr:uid="{00000000-0006-0000-0000-000006000000}">
      <text>
        <r>
          <rPr>
            <b/>
            <sz val="8"/>
            <color indexed="81"/>
            <rFont val="Tahoma"/>
            <family val="2"/>
          </rPr>
          <t>AEP:</t>
        </r>
        <r>
          <rPr>
            <sz val="8"/>
            <color indexed="81"/>
            <rFont val="Tahoma"/>
            <family val="2"/>
          </rPr>
          <t xml:space="preserve">
"Manually input from previous year's update "</t>
        </r>
        <r>
          <rPr>
            <i/>
            <sz val="8"/>
            <color indexed="81"/>
            <rFont val="Tahoma"/>
            <family val="2"/>
          </rPr>
          <t>Schedule 11 Rates by Project</t>
        </r>
        <r>
          <rPr>
            <sz val="8"/>
            <color indexed="81"/>
            <rFont val="Tahoma"/>
            <family val="2"/>
          </rPr>
          <t>" sheet.</t>
        </r>
      </text>
    </comment>
    <comment ref="K16" authorId="0" shapeId="0" xr:uid="{00000000-0006-0000-0000-000007000000}">
      <text>
        <r>
          <rPr>
            <b/>
            <sz val="8"/>
            <color indexed="81"/>
            <rFont val="Tahoma"/>
            <family val="2"/>
          </rPr>
          <t>MW:</t>
        </r>
        <r>
          <rPr>
            <sz val="8"/>
            <color indexed="81"/>
            <rFont val="Tahoma"/>
            <family val="2"/>
          </rPr>
          <t xml:space="preserve">
These values reflect what AEP booked for the calendar year 2012 for base plan revenues received from SPP.</t>
        </r>
      </text>
    </comment>
    <comment ref="L16" authorId="0" shapeId="0" xr:uid="{00000000-0006-0000-0000-000008000000}">
      <text>
        <r>
          <rPr>
            <b/>
            <sz val="8"/>
            <color indexed="81"/>
            <rFont val="Tahoma"/>
            <family val="2"/>
          </rPr>
          <t>R.Pennybaker:</t>
        </r>
        <r>
          <rPr>
            <sz val="8"/>
            <color indexed="81"/>
            <rFont val="Tahoma"/>
            <family val="2"/>
          </rPr>
          <t xml:space="preserve">
This can also be referred to as the Billing Error.</t>
        </r>
      </text>
    </comment>
    <comment ref="N16" authorId="1" shapeId="0" xr:uid="{00000000-0006-0000-0000-000009000000}">
      <text>
        <r>
          <rPr>
            <b/>
            <sz val="8"/>
            <color indexed="81"/>
            <rFont val="Tahoma"/>
            <family val="2"/>
          </rPr>
          <t>AEP:</t>
        </r>
        <r>
          <rPr>
            <sz val="8"/>
            <color indexed="81"/>
            <rFont val="Tahoma"/>
            <family val="2"/>
          </rPr>
          <t xml:space="preserve">
This is "Prior Year True-Up (WS-G)"; and "Incentive Amounts" O88</t>
        </r>
      </text>
    </comment>
    <comment ref="O16" authorId="1" shapeId="0" xr:uid="{00000000-0006-0000-0000-00000A000000}">
      <text>
        <r>
          <rPr>
            <b/>
            <sz val="8"/>
            <color indexed="81"/>
            <rFont val="Tahoma"/>
            <family val="2"/>
          </rPr>
          <t>AEP:</t>
        </r>
        <r>
          <rPr>
            <sz val="8"/>
            <color indexed="81"/>
            <rFont val="Tahoma"/>
            <family val="2"/>
          </rPr>
          <t xml:space="preserve">
Prior Year Projected (WS-F) and Incentive Amounts [cell O87]</t>
        </r>
      </text>
    </comment>
    <comment ref="C21" authorId="1" shapeId="0" xr:uid="{00000000-0006-0000-0000-00000B000000}">
      <text>
        <r>
          <rPr>
            <b/>
            <sz val="9"/>
            <color indexed="81"/>
            <rFont val="Tahoma"/>
            <family val="2"/>
          </rPr>
          <t xml:space="preserve">AEP:
</t>
        </r>
        <r>
          <rPr>
            <sz val="9"/>
            <color indexed="81"/>
            <rFont val="Tahoma"/>
            <family val="2"/>
          </rPr>
          <t xml:space="preserve">The SPP NTC only allows 94% of this project to be Base Plan.  Therefore, from 2016 Update onward, the indicated ATTR is based upon 94% of actual project investment.
In previous annual Updates, AEP provided 100% investment based ATRR thus SPP only collected 94% of the indicated ATRRs.  
Repeating:  from 2016 Update onward, no scaling is required by SPP as the indicated ATRR is already refelcting the 94% scaler per the original NTC.
</t>
        </r>
      </text>
    </comment>
    <comment ref="K46" authorId="0" shapeId="0" xr:uid="{00000000-0006-0000-0000-00000C000000}">
      <text>
        <r>
          <rPr>
            <b/>
            <sz val="8"/>
            <color indexed="81"/>
            <rFont val="Tahoma"/>
            <family val="2"/>
          </rPr>
          <t>R.Pennybaker:</t>
        </r>
        <r>
          <rPr>
            <sz val="8"/>
            <color indexed="81"/>
            <rFont val="Tahoma"/>
            <family val="2"/>
          </rPr>
          <t xml:space="preserve">
This value ties to interest worksheet.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R.Pennybaker</author>
  </authors>
  <commentList>
    <comment ref="L19" authorId="0" shapeId="0" xr:uid="{00000000-0006-0000-0100-000001000000}">
      <text>
        <r>
          <rPr>
            <b/>
            <sz val="8"/>
            <color indexed="81"/>
            <rFont val="Tahoma"/>
            <family val="2"/>
          </rPr>
          <t>R.Pennybaker:</t>
        </r>
        <r>
          <rPr>
            <sz val="8"/>
            <color indexed="81"/>
            <rFont val="Tahoma"/>
            <family val="2"/>
          </rPr>
          <t xml:space="preserve">
This value comes from Formula Template file via data INPUT table below.  Then, it supuplies the project year value to the P.xxx sheets.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R.Pennybaker</author>
  </authors>
  <commentList>
    <comment ref="M16" authorId="0" shapeId="0" xr:uid="{00000000-0006-0000-0200-000001000000}">
      <text>
        <r>
          <rPr>
            <b/>
            <sz val="8"/>
            <color indexed="81"/>
            <rFont val="Tahoma"/>
            <family val="2"/>
          </rPr>
          <t>R.Pennybaker:</t>
        </r>
        <r>
          <rPr>
            <sz val="8"/>
            <color indexed="81"/>
            <rFont val="Tahoma"/>
            <family val="2"/>
          </rPr>
          <t xml:space="preserve">
This cell comes from Formula Template file.  Then, it drives all the P.xxx sheets.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AEP</author>
  </authors>
  <commentList>
    <comment ref="D10" authorId="0" shapeId="0" xr:uid="{00000000-0006-0000-0600-000001000000}">
      <text>
        <r>
          <rPr>
            <b/>
            <sz val="9"/>
            <color indexed="81"/>
            <rFont val="Tahoma"/>
            <family val="2"/>
          </rPr>
          <t>AEP:</t>
        </r>
        <r>
          <rPr>
            <sz val="9"/>
            <color indexed="81"/>
            <rFont val="Tahoma"/>
            <family val="2"/>
          </rPr>
          <t xml:space="preserve">
Per SPP NTC, Investment (EOY) is input as 94% of actual total investment provided by Planning.</t>
        </r>
      </text>
    </comment>
  </commentList>
</comments>
</file>

<file path=xl/sharedStrings.xml><?xml version="1.0" encoding="utf-8"?>
<sst xmlns="http://schemas.openxmlformats.org/spreadsheetml/2006/main" count="3490" uniqueCount="324">
  <si>
    <t>I.</t>
  </si>
  <si>
    <t xml:space="preserve">   Project ROE Incentive Adder (Enter as whole number)</t>
  </si>
  <si>
    <t>&lt;==Incentive ROE  Cannot Exceed 12.45%</t>
  </si>
  <si>
    <t xml:space="preserve">   Determine R  ( cost of long term debt, cost of preferred stock and percent is from Attachment H, lns 158 through160)</t>
  </si>
  <si>
    <t>SUMMARY OF PROJECTED ANNUAL BASE PLAN AND  NON-BASE PLAN REVENUE REQUIREMENTS</t>
  </si>
  <si>
    <t>%</t>
  </si>
  <si>
    <t>Cost</t>
  </si>
  <si>
    <t>Weighted cost</t>
  </si>
  <si>
    <t>Long Term Debt</t>
  </si>
  <si>
    <t>Rev Require</t>
  </si>
  <si>
    <t xml:space="preserve"> W Incentives</t>
  </si>
  <si>
    <t>Incentive Amounts</t>
  </si>
  <si>
    <t>Preferred Stock</t>
  </si>
  <si>
    <t>Common Stock</t>
  </si>
  <si>
    <t>PROJECTED YEAR</t>
  </si>
  <si>
    <t>R =</t>
  </si>
  <si>
    <r>
      <t xml:space="preserve">Note:  </t>
    </r>
    <r>
      <rPr>
        <sz val="10"/>
        <rFont val="Arial"/>
        <family val="2"/>
      </rPr>
      <t xml:space="preserve">Review formulas in summary to ensure the proper year's revenue requirement is being </t>
    </r>
  </si>
  <si>
    <t>accumulated for each project from the tables below.</t>
  </si>
  <si>
    <t xml:space="preserve">   R   (fom A. above)</t>
  </si>
  <si>
    <t xml:space="preserve">   Return (Rate Base  x  R)</t>
  </si>
  <si>
    <t xml:space="preserve">   Return   (from B. above)</t>
  </si>
  <si>
    <t xml:space="preserve">   EIT=(T/(1-T)) * (1-(WCLTD/WACC)) =</t>
  </si>
  <si>
    <t xml:space="preserve">   Income Tax Calculation  (Return  x  EIT)</t>
  </si>
  <si>
    <t xml:space="preserve">   Income Taxes</t>
  </si>
  <si>
    <t>II.</t>
  </si>
  <si>
    <t xml:space="preserve">   Net Revenue Requirement, Less Return and Taxes</t>
  </si>
  <si>
    <t xml:space="preserve">   Income Taxes  (from I.C. above)</t>
  </si>
  <si>
    <t xml:space="preserve">   Revenue Requirement w/ Gross Margin Taxes</t>
  </si>
  <si>
    <t xml:space="preserve">      Basis Point ROE increase (II B. above)</t>
  </si>
  <si>
    <t xml:space="preserve">       Apportioned Texas Revenues</t>
  </si>
  <si>
    <t xml:space="preserve">       Taxable, Apportioned Margin</t>
  </si>
  <si>
    <t xml:space="preserve">       Texas Gross Margin Tax Rate</t>
  </si>
  <si>
    <t xml:space="preserve">       Texas Gross Margin Tax Expense</t>
  </si>
  <si>
    <t xml:space="preserve">      Gross-up Required for Gross Margin Tax Expense </t>
  </si>
  <si>
    <t>Total Additional Gross Margin Tax Revenue Requirement</t>
  </si>
  <si>
    <t>III.</t>
  </si>
  <si>
    <t>Calculation of Composite Depreciation Rate</t>
  </si>
  <si>
    <t>Transmission Plant @ Beginning of Period (P.206, ln 58)</t>
  </si>
  <si>
    <t>Transmission Plant @ End of Period (P.207, ln 58)</t>
  </si>
  <si>
    <t>Composite Depreciation Rate</t>
  </si>
  <si>
    <t>Depreciable Life for Composite Depreciation Rate</t>
  </si>
  <si>
    <t>Round to nearest whole year</t>
  </si>
  <si>
    <t>IV.</t>
  </si>
  <si>
    <t>Determine the Revenue Requirement &amp; Additional Revenue Requirement for facilities receiving incentives.</t>
  </si>
  <si>
    <t>A.   Facilities receiving incentives accepted by FERC in Docket No.</t>
  </si>
  <si>
    <t xml:space="preserve">   (e.g. ER05-925-000)</t>
  </si>
  <si>
    <t xml:space="preserve">Project Description: </t>
  </si>
  <si>
    <t>Current Projected Year Incentive ARR</t>
  </si>
  <si>
    <t>DETAILS</t>
  </si>
  <si>
    <t>Investment</t>
  </si>
  <si>
    <t>Current Year</t>
  </si>
  <si>
    <t>CUMMULATIVE HISTORY OF PROJECTED ANNUAL REVENUE REQUIREMENTS:</t>
  </si>
  <si>
    <t>Service Year (yyyy)</t>
  </si>
  <si>
    <t>ROE increase accepted by FERC (Basis Points)</t>
  </si>
  <si>
    <t>Service Month (1-12)</t>
  </si>
  <si>
    <t>FCR w/o incentives, less depreciation</t>
  </si>
  <si>
    <t xml:space="preserve">          TEMPLATE BELOW TO MAINTAIN HISTORY OF PROJECTED ARRS OVER THE </t>
  </si>
  <si>
    <t>Useful life</t>
  </si>
  <si>
    <t>FCR w/incentives approved for these facilities, less dep.</t>
  </si>
  <si>
    <t xml:space="preserve">         LIFE OF THE PROJECT.</t>
  </si>
  <si>
    <t>CIAC (Yes or No)</t>
  </si>
  <si>
    <t>No</t>
  </si>
  <si>
    <t>Annual Depreciation Expense</t>
  </si>
  <si>
    <t>Depreciation</t>
  </si>
  <si>
    <t>Ending</t>
  </si>
  <si>
    <t>Additional Rev.</t>
  </si>
  <si>
    <t>Project Rev Req't True-up</t>
  </si>
  <si>
    <t>True-up of Incentive</t>
  </si>
  <si>
    <t>Year</t>
  </si>
  <si>
    <t>Balance</t>
  </si>
  <si>
    <t>Expense</t>
  </si>
  <si>
    <t xml:space="preserve">Requirement </t>
  </si>
  <si>
    <t xml:space="preserve">with Incentives </t>
  </si>
  <si>
    <t xml:space="preserve">  </t>
  </si>
  <si>
    <t xml:space="preserve">w/o Incentives </t>
  </si>
  <si>
    <t>Project Totals</t>
  </si>
  <si>
    <t>additional incentive requirement is applicable for the life of this specific project.  Each year the revenue requirement calculated for SPP</t>
  </si>
  <si>
    <t xml:space="preserve">should be incremented by the amount of the incentive revenue calculated for that year on this project. </t>
  </si>
  <si>
    <t>TP2004033</t>
  </si>
  <si>
    <t>SUMMARY OF TRUED-UP ANNUAL REVENUE REQUIREMENTS FOR SPP BPU &amp; NON-BPU PROJECTS</t>
  </si>
  <si>
    <t>TRUE-UP YEAR</t>
  </si>
  <si>
    <t>Determine the Revenue Requirement, and Additional Revenue Requirement for facilities receiving incentives.</t>
  </si>
  <si>
    <t>Project Description:</t>
  </si>
  <si>
    <t>Details</t>
  </si>
  <si>
    <t>True-Up Year</t>
  </si>
  <si>
    <t>CUMMULATIVE HISTORY OF TRUED-UP ANNUAL REVENUE REQUIREMENTS:</t>
  </si>
  <si>
    <t xml:space="preserve">          TEMPLATE BELOW TO MAINTAIN HISTORY OF TRUED-UP ARRS OVER THE </t>
  </si>
  <si>
    <t>Average</t>
  </si>
  <si>
    <t>Incentive Rev.</t>
  </si>
  <si>
    <t>BPU Rev Req't True-up</t>
  </si>
  <si>
    <r>
      <t xml:space="preserve">** </t>
    </r>
    <r>
      <rPr>
        <sz val="10"/>
        <rFont val="Arial"/>
        <family val="2"/>
      </rPr>
      <t xml:space="preserve"> This is the total amount that needs to be reported to SPP for billing to all regions. </t>
    </r>
  </si>
  <si>
    <t>BPU Rev. Req't.From Prior Year Template</t>
  </si>
  <si>
    <r>
      <t xml:space="preserve">   Return   (from </t>
    </r>
    <r>
      <rPr>
        <sz val="10"/>
        <rFont val="MS Serif"/>
        <family val="1"/>
      </rPr>
      <t>I</t>
    </r>
    <r>
      <rPr>
        <sz val="10"/>
        <rFont val="Arial"/>
        <family val="2"/>
      </rPr>
      <t>.B. above)</t>
    </r>
  </si>
  <si>
    <r>
      <t xml:space="preserve">Requirement </t>
    </r>
    <r>
      <rPr>
        <b/>
        <sz val="10"/>
        <color indexed="10"/>
        <rFont val="Arial"/>
        <family val="2"/>
      </rPr>
      <t>##</t>
    </r>
  </si>
  <si>
    <r>
      <t>with Incentives</t>
    </r>
    <r>
      <rPr>
        <b/>
        <sz val="10"/>
        <color indexed="10"/>
        <rFont val="Arial"/>
        <family val="2"/>
      </rPr>
      <t xml:space="preserve"> **</t>
    </r>
  </si>
  <si>
    <r>
      <t>##</t>
    </r>
    <r>
      <rPr>
        <b/>
        <sz val="10"/>
        <rFont val="Arial"/>
        <family val="2"/>
      </rPr>
      <t xml:space="preserve"> This is the calculation of  additional incentive revenue on projects deemed by the FERC to be eligible for an incentive return.  This</t>
    </r>
  </si>
  <si>
    <r>
      <t xml:space="preserve">## </t>
    </r>
    <r>
      <rPr>
        <b/>
        <sz val="10"/>
        <color indexed="8"/>
        <rFont val="Arial"/>
        <family val="2"/>
      </rPr>
      <t>This is the calculation of  additional incentive revenue on projects deemed by the FERC to be eligible for an incentive return.  This</t>
    </r>
  </si>
  <si>
    <t>Long Term Debt %</t>
  </si>
  <si>
    <t>Long Term Debt Cost</t>
  </si>
  <si>
    <t>Preferred Stock %</t>
  </si>
  <si>
    <t>Preferred Stock Cost</t>
  </si>
  <si>
    <t>Common Stock %</t>
  </si>
  <si>
    <t>STEP 2</t>
  </si>
  <si>
    <t>STEP 3</t>
  </si>
  <si>
    <t xml:space="preserve">       Apportionment Factor to Texas (Worksheet K, ln 12)</t>
  </si>
  <si>
    <t>Black text is not used in this workbook.</t>
  </si>
  <si>
    <t>Blue text is used by this workbbok and driven by non WS-F Formula Rate template worksheets</t>
  </si>
  <si>
    <t>SEE INPUT/OUTPUT ranges to the right  ----&gt;</t>
  </si>
  <si>
    <t>SEE INPUT/OUTPUT ranges to the right  ------&gt;</t>
  </si>
  <si>
    <t xml:space="preserve">AEP West SPP Member Companies </t>
  </si>
  <si>
    <t>See INPUT/OUTPUT ranges below.</t>
  </si>
  <si>
    <t>STEP 1</t>
  </si>
  <si>
    <t>Is done first in the main Formula Rate template  Worksheet F.</t>
  </si>
  <si>
    <t>STEP 4</t>
  </si>
  <si>
    <t>Is done last in the main Formula Rate template  Worksheet F.</t>
  </si>
  <si>
    <t>Copy to main FR Template</t>
  </si>
  <si>
    <t>Project Description</t>
  </si>
  <si>
    <t>Is done first in the main Formula Rate template  Worksheet G.</t>
  </si>
  <si>
    <t>Is done last in the main Formula Rate template  Worksheet G.</t>
  </si>
  <si>
    <t>Blue text below is used by this workbbok and comes from main Formula Rate template WS-G sheet.</t>
  </si>
  <si>
    <t>As Projected in Prior Year WS F   Rev Require</t>
  </si>
  <si>
    <t>As Projected in Prior Year WS F    W Incentives</t>
  </si>
  <si>
    <t>Actual after True-up Rev Require</t>
  </si>
  <si>
    <t>Actual after True-up  W Incentives</t>
  </si>
  <si>
    <r>
      <t>Worksheet F</t>
    </r>
    <r>
      <rPr>
        <sz val="14"/>
        <rFont val="Arial"/>
        <family val="2"/>
      </rPr>
      <t xml:space="preserve"> - Calculation of PROJECTED Annual Revenue Requirement for BPU and Special-billed Projects</t>
    </r>
  </si>
  <si>
    <r>
      <t>Worksheet G</t>
    </r>
    <r>
      <rPr>
        <sz val="14"/>
        <rFont val="Arial"/>
        <family val="2"/>
      </rPr>
      <t xml:space="preserve"> - Calculation of TRUED-UP Annual Revenue Requirement for BPU and Special-billed Projects</t>
    </r>
  </si>
  <si>
    <t xml:space="preserve">Worksheet F </t>
  </si>
  <si>
    <t>&lt;----Worksheet data is for</t>
  </si>
  <si>
    <t>Worksheet F</t>
  </si>
  <si>
    <t>Worksheet G</t>
  </si>
  <si>
    <r>
      <t>##</t>
    </r>
    <r>
      <rPr>
        <sz val="10"/>
        <rFont val="Arial"/>
        <family val="2"/>
      </rPr>
      <t xml:space="preserve"> </t>
    </r>
    <r>
      <rPr>
        <b/>
        <sz val="10"/>
        <color indexed="8"/>
        <rFont val="Arial"/>
        <family val="2"/>
      </rPr>
      <t>This is the calculation of  additional incentive revenue on projects deemed by the FERC to be eligible for an incentive return.  This</t>
    </r>
  </si>
  <si>
    <t xml:space="preserve">(Worksheet F)    </t>
  </si>
  <si>
    <t xml:space="preserve">(Worksheet G)    </t>
  </si>
  <si>
    <t>basis points</t>
  </si>
  <si>
    <t>w/Incentives</t>
  </si>
  <si>
    <t xml:space="preserve">True-Up Adjustment  </t>
  </si>
  <si>
    <t>AEP Transmission Formula Rate Template</t>
  </si>
  <si>
    <t xml:space="preserve">AEP Schedule 11 Revenue Requirement Including True-Up of Prior Collections </t>
  </si>
  <si>
    <t>(A)</t>
  </si>
  <si>
    <t>(B)</t>
  </si>
  <si>
    <t>(C )</t>
  </si>
  <si>
    <t>(D)</t>
  </si>
  <si>
    <t>(E)</t>
  </si>
  <si>
    <t>(F)</t>
  </si>
  <si>
    <t>(H)</t>
  </si>
  <si>
    <t>(I)</t>
  </si>
  <si>
    <t>(M)</t>
  </si>
  <si>
    <t>Base ARR</t>
  </si>
  <si>
    <t>Owner</t>
  </si>
  <si>
    <t>Year in Service</t>
  </si>
  <si>
    <t>Incentive</t>
  </si>
  <si>
    <t>Total</t>
  </si>
  <si>
    <t>True-up</t>
  </si>
  <si>
    <t>As Billed</t>
  </si>
  <si>
    <t>Change</t>
  </si>
  <si>
    <t>Interest</t>
  </si>
  <si>
    <t>Sheet Name</t>
  </si>
  <si>
    <t>AEP TOTALS</t>
  </si>
  <si>
    <t>Indirect References</t>
  </si>
  <si>
    <r>
      <t xml:space="preserve">Calculation of Schedule </t>
    </r>
    <r>
      <rPr>
        <sz val="12"/>
        <rFont val="Arial"/>
        <family val="2"/>
      </rPr>
      <t>11 Revenue Requirements For AEP Transmission Projects</t>
    </r>
  </si>
  <si>
    <r>
      <t xml:space="preserve">   DO </t>
    </r>
    <r>
      <rPr>
        <b/>
        <sz val="10"/>
        <color indexed="10"/>
        <rFont val="Arial"/>
        <family val="2"/>
      </rPr>
      <t>NOT</t>
    </r>
    <r>
      <rPr>
        <b/>
        <sz val="10"/>
        <rFont val="Arial"/>
        <family val="2"/>
      </rPr>
      <t xml:space="preserve"> delete this row or the formulas above will not work.</t>
    </r>
  </si>
  <si>
    <t>from WS-F &amp; G</t>
  </si>
  <si>
    <t>Do NOT delete.</t>
  </si>
  <si>
    <r>
      <t xml:space="preserve">TRUE-UP Adjustment </t>
    </r>
    <r>
      <rPr>
        <sz val="10"/>
        <rFont val="Arial"/>
        <family val="2"/>
      </rPr>
      <t>(WS-G)</t>
    </r>
  </si>
  <si>
    <r>
      <t xml:space="preserve">Base ARR
</t>
    </r>
    <r>
      <rPr>
        <sz val="10"/>
        <rFont val="Arial"/>
        <family val="2"/>
      </rPr>
      <t>(WS-F)</t>
    </r>
  </si>
  <si>
    <t>COLLECTION Adjustment</t>
  </si>
  <si>
    <t>Incentive ARR</t>
  </si>
  <si>
    <t>(J)</t>
  </si>
  <si>
    <t>(L)</t>
  </si>
  <si>
    <t>(O)</t>
  </si>
  <si>
    <t>Total Adjustments before Interest</t>
  </si>
  <si>
    <t>the column above</t>
  </si>
  <si>
    <t>is used to feed interest</t>
  </si>
  <si>
    <t>calculation engine and its</t>
  </si>
  <si>
    <t>output is put into the interest</t>
  </si>
  <si>
    <t>column to left (O).</t>
  </si>
  <si>
    <t>PROJECTED Rev. Req't From Prior Year Template</t>
  </si>
  <si>
    <t>TRUE-UP Rev. Req't.From Prior Year Template</t>
  </si>
  <si>
    <t xml:space="preserve"> Worksheet G</t>
  </si>
  <si>
    <r>
      <t xml:space="preserve">As Billed
by SPP
</t>
    </r>
    <r>
      <rPr>
        <sz val="10"/>
        <rFont val="Arial"/>
        <family val="2"/>
      </rPr>
      <t>(for Prior Yr
T-Service)</t>
    </r>
  </si>
  <si>
    <t xml:space="preserve"> &lt;--- this value goes to sched 11 interest support file</t>
  </si>
  <si>
    <r>
      <t xml:space="preserve">Total Adjustments
</t>
    </r>
    <r>
      <rPr>
        <sz val="8"/>
        <rFont val="Arial"/>
        <family val="2"/>
      </rPr>
      <t>(True-Up, Billing, &amp; Interest)</t>
    </r>
  </si>
  <si>
    <t>OKT</t>
  </si>
  <si>
    <t>OKT Total</t>
  </si>
  <si>
    <t>Worksheet F --- DATA INPUT (Paste.Values) from TEMPLATE OKT WS F</t>
  </si>
  <si>
    <t>EXPORT DATA to Template OKT WS F</t>
  </si>
  <si>
    <t>DATA INPUT (Paste.Values) from main FR TEMPLATE OKT WS G</t>
  </si>
  <si>
    <t>EXPORT DATA to main FR Template OKT WS G</t>
  </si>
  <si>
    <t>OKLAHOMA TRANSMISSION COMPANY</t>
  </si>
  <si>
    <t>Worksheet F  --  OKLAHOMA TRANSMISSION COMPANY  --  Calculation of "Projected" ARR for SPP Base Plan Upgrade Projects</t>
  </si>
  <si>
    <t>Worksheet G  --  OKLAHOMA TRANSMISSION COMPANY  --  Calculation of "Trued-Up" ARR for SPP Base Plan Upgrade Projects</t>
  </si>
  <si>
    <t>Snyder 138 kV Terminal Addition</t>
  </si>
  <si>
    <t>Coffeyville T to Dearing 138 kV Rebuild - 1.1 miles</t>
  </si>
  <si>
    <t>Historic / Projected Beginning</t>
  </si>
  <si>
    <t>OKT.001</t>
  </si>
  <si>
    <t>OKT.002</t>
  </si>
  <si>
    <t>TP2009013</t>
  </si>
  <si>
    <t>TP2008013</t>
  </si>
  <si>
    <t>TP2009090</t>
  </si>
  <si>
    <t>Tulsa Power Station Reactor</t>
  </si>
  <si>
    <t>TP2008079</t>
  </si>
  <si>
    <t xml:space="preserve">Bartlesville SE to Coffeyville T Rebuild </t>
  </si>
  <si>
    <t>OKT.003</t>
  </si>
  <si>
    <t>OKT.004</t>
  </si>
  <si>
    <t>TP2007167</t>
  </si>
  <si>
    <t>TP2009095</t>
  </si>
  <si>
    <t xml:space="preserve">Canadian River - McAlester City 138 kV Line Conversion </t>
  </si>
  <si>
    <t>OKT.005</t>
  </si>
  <si>
    <t>OKT.006</t>
  </si>
  <si>
    <t>NOTE:  Project became BPU inligible (see Docket ER12-981) thus investment amout and Proj Beg Balance for 2013 forward set to $0.</t>
  </si>
  <si>
    <t>NOTE:  Project became BPU inligible (see Docket ER12-981) please see Note on Project's WS-F.  No changes made to this WS-G.</t>
  </si>
  <si>
    <t>Install 345kV terminal at Valliant***</t>
  </si>
  <si>
    <t>*&lt;$100K investment  *** Project became BPU ineligible (see Project's Notes)</t>
  </si>
  <si>
    <t>TP2011093</t>
  </si>
  <si>
    <t xml:space="preserve">Cornville Station Conversion </t>
  </si>
  <si>
    <t>Coweta 69 kV Capacitor</t>
  </si>
  <si>
    <t>OKT.007</t>
  </si>
  <si>
    <t>OKT.008</t>
  </si>
  <si>
    <t>TP2012141</t>
  </si>
  <si>
    <t>TP2010094</t>
  </si>
  <si>
    <t>Prattville-Bluebell 138 kV</t>
  </si>
  <si>
    <t>TP2013002</t>
  </si>
  <si>
    <t>Grady Customer Connection</t>
  </si>
  <si>
    <t>TP2012112</t>
  </si>
  <si>
    <t>Darlington-Red Rock 138 kV line</t>
  </si>
  <si>
    <t>OKT.009</t>
  </si>
  <si>
    <t>OKT.010</t>
  </si>
  <si>
    <t>OKT.011</t>
  </si>
  <si>
    <t>OKT.012</t>
  </si>
  <si>
    <t>Wapanucka Customer Connection</t>
  </si>
  <si>
    <t>***Sch. 11 recovery commenced in 2015 rate year***</t>
  </si>
  <si>
    <t>Ellis 138 kV</t>
  </si>
  <si>
    <t>TP2012055</t>
  </si>
  <si>
    <t>OKT.013</t>
  </si>
  <si>
    <t>Valliant-NW Texarkana 345 kV</t>
  </si>
  <si>
    <t>TP 2009089</t>
  </si>
  <si>
    <t>OKT.014</t>
  </si>
  <si>
    <t>NOTE:  Original NTC indicates only 94% to be Base Plan.</t>
  </si>
  <si>
    <t>&lt;&lt; 2016-present ARR values based on 94% actual cost.  Yrs 2011-15 ARR values based on 100% actual cost (SPP scaled ARR data) &gt;&gt;</t>
  </si>
  <si>
    <t>OKT.015</t>
  </si>
  <si>
    <t>A.   Determine Net Revenue Requirement less return and Income Taxes.</t>
  </si>
  <si>
    <t>&lt;==From Input on Worksheet A</t>
  </si>
  <si>
    <t>Current Projected Year ARR</t>
  </si>
  <si>
    <t>Current Projected Year ARR w/ Incentive</t>
  </si>
  <si>
    <t>Darlington Roman Nose 138 kv</t>
  </si>
  <si>
    <t>insert project name here</t>
  </si>
  <si>
    <t>Carnegie South-Southwestern 123 kv line rebuild</t>
  </si>
  <si>
    <t>Chisholm - Gracemont 345 kv line and station</t>
  </si>
  <si>
    <t>OKT.016</t>
  </si>
  <si>
    <t>OKT.017</t>
  </si>
  <si>
    <t>Paste in both column below - numbers and line descriptions</t>
  </si>
  <si>
    <t>Beg/Ending 
Average
Revenue</t>
  </si>
  <si>
    <t>Beg/Ending
Average
Revenue Req't.</t>
  </si>
  <si>
    <t xml:space="preserve">True Up Year Projected  (WS-F)  </t>
  </si>
  <si>
    <t xml:space="preserve">True-Up Year Actual (WS-G)  </t>
  </si>
  <si>
    <t xml:space="preserve">∑ True-Up Year Projected  (WS-F)  </t>
  </si>
  <si>
    <t xml:space="preserve">∑ True Up Year Actual  (WS-G)  </t>
  </si>
  <si>
    <t xml:space="preserve">       Taxable Percentage of Revenue (22%)</t>
  </si>
  <si>
    <t>Annual Depreciation Expense  (Historic TCOS, ln 259)</t>
  </si>
  <si>
    <t>Note 1:  Until OKLAHOMA TRANSMISSION COMPANY establishes Transmission plant in service the depreciation expense component of the carrying charge will be calculated as in the Operating Company formula approved in Docket No. ER07-1069.  The calculation for OKLAHOMA TRANSMISSION COMPANY is based on Plant Balances and Depreciation Expense for PSO and shown on lines 8 through 14 of Worksheet B.</t>
  </si>
  <si>
    <t>TP2009089</t>
  </si>
  <si>
    <t>TP 2015027</t>
  </si>
  <si>
    <t>TP 2014207</t>
  </si>
  <si>
    <t>TP 2011150</t>
  </si>
  <si>
    <t>Duncan-Comanche Tap 69 KV Rebuild</t>
  </si>
  <si>
    <t>OKT.018</t>
  </si>
  <si>
    <t>TP 2015191</t>
  </si>
  <si>
    <t>Note - This project was expected to be completed and then sold to WFEC during 2017, but will not be sold till late 2018.</t>
  </si>
  <si>
    <t>Projected Adjusted ARR from Prior Update</t>
  </si>
  <si>
    <t>TP2015204</t>
  </si>
  <si>
    <t>Fort Towson-Valliant 69 KV Line Rebuild</t>
  </si>
  <si>
    <t xml:space="preserve">   ROE w/o incentives  (TCOS, ln 143)</t>
  </si>
  <si>
    <t xml:space="preserve">   Rate Base  (TCOS, ln 63)</t>
  </si>
  <si>
    <t xml:space="preserve">   Tax Rate  (TCOS, ln 99)</t>
  </si>
  <si>
    <t xml:space="preserve">   ITC Adjustment  (TCOS, ln 108)</t>
  </si>
  <si>
    <t xml:space="preserve">   Excess DFIT Adjustment  (TCOS, ln 109)</t>
  </si>
  <si>
    <t xml:space="preserve">   Tax Effect of Permanent and Flow Through Differences (TCOS, ln 110)</t>
  </si>
  <si>
    <t xml:space="preserve">   Net Revenue Requirement  (TCOS, ln 117)</t>
  </si>
  <si>
    <t xml:space="preserve">   Return  (TCOS, ln 112)</t>
  </si>
  <si>
    <t xml:space="preserve">   Income Taxes  (TCOS, ln 111)</t>
  </si>
  <si>
    <t xml:space="preserve">  Gross Margin Taxes  (TCOS, ln 116)</t>
  </si>
  <si>
    <t xml:space="preserve">   Less: Depreciation  (TCOS, ln 86)</t>
  </si>
  <si>
    <t xml:space="preserve">   Net Transmission Plant  (TCOS, ln 37)</t>
  </si>
  <si>
    <t xml:space="preserve">   FCR less Depreciation  (TCOS, ln 10)</t>
  </si>
  <si>
    <t>Annual Depreciation Expense  (TCOS, ln 86)</t>
  </si>
  <si>
    <t>Transmission Plant Average Balance for 2018</t>
  </si>
  <si>
    <t>Projected Year</t>
  </si>
  <si>
    <t xml:space="preserve">   Tax Effect of Permanent and Flow Through Differences  (TCOS, ln 110)</t>
  </si>
  <si>
    <t>OKT.019</t>
  </si>
  <si>
    <t xml:space="preserve"> </t>
  </si>
  <si>
    <t>Keystone Dam - Wekiwa 138 kV</t>
  </si>
  <si>
    <t>TP2015118</t>
  </si>
  <si>
    <t>OKT.020</t>
  </si>
  <si>
    <t>Tulsa SE - S Hudson 138 kV</t>
  </si>
  <si>
    <t>TP2020033</t>
  </si>
  <si>
    <t xml:space="preserve">  SPP Project ID = 81520</t>
  </si>
  <si>
    <t>Pryor Junction 138/115 kV</t>
  </si>
  <si>
    <t>TP2019132</t>
  </si>
  <si>
    <t xml:space="preserve">  SPP Project ID = 81571</t>
  </si>
  <si>
    <t xml:space="preserve">  SPP Project ID = </t>
  </si>
  <si>
    <t>OKT.021</t>
  </si>
  <si>
    <t>OKT.022</t>
  </si>
  <si>
    <t>OKT.023</t>
  </si>
  <si>
    <t>OKT.024</t>
  </si>
  <si>
    <t>OKT.025</t>
  </si>
  <si>
    <t>OKT.026</t>
  </si>
  <si>
    <t>Chisholm Substation 345 kV Terminal Upgrades</t>
  </si>
  <si>
    <t>SW Power Station 138 kV</t>
  </si>
  <si>
    <t>Sooner - Wekiwa 345 kV Terminal Upgrades</t>
  </si>
  <si>
    <t>Line - Osage - Webb City Tap - Shidler 138 kV Rebuild</t>
  </si>
  <si>
    <t xml:space="preserve">Project ID = </t>
  </si>
  <si>
    <t>Project ID =</t>
  </si>
  <si>
    <t xml:space="preserve">Prjoect ID = </t>
  </si>
  <si>
    <t>30748 &amp; 30747</t>
  </si>
  <si>
    <t>TP2020266</t>
  </si>
  <si>
    <t>TA2019024</t>
  </si>
  <si>
    <t>TP2019146</t>
  </si>
  <si>
    <t>TA2020138</t>
  </si>
  <si>
    <t>TP2015027</t>
  </si>
  <si>
    <t xml:space="preserve">SPP Project ID = </t>
  </si>
  <si>
    <t>2025 NOLC FERC Order Refund</t>
  </si>
  <si>
    <t>Transmission Plant Average Balance for 2025 (WS A-1 Ln 14 Col (d))</t>
  </si>
  <si>
    <t xml:space="preserve">   Excess DFIT Adjustment  (TCOS, ln 110)</t>
  </si>
  <si>
    <t xml:space="preserve">   Tax Effect of Permanent and Flow Through Differences (TCOS, 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</si>
</sst>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5" formatCode="&quot;$&quot;#,##0_);\(&quot;$&quot;#,##0\)"/>
    <numFmt numFmtId="41" formatCode="_(* #,##0_);_(* \(#,##0\);_(* &quot;-&quot;_);_(@_)"/>
    <numFmt numFmtId="44" formatCode="_(&quot;$&quot;* #,##0.00_);_(&quot;$&quot;* \(#,##0.00\);_(&quot;$&quot;* &quot;-&quot;??_);_(@_)"/>
    <numFmt numFmtId="43" formatCode="_(* #,##0.00_);_(* \(#,##0.00\);_(* &quot;-&quot;??_);_(@_)"/>
    <numFmt numFmtId="164" formatCode="0.000%"/>
    <numFmt numFmtId="165" formatCode="0.00000"/>
    <numFmt numFmtId="166" formatCode="#,##0.0000"/>
    <numFmt numFmtId="167" formatCode="0.0000"/>
    <numFmt numFmtId="168" formatCode="&quot;$&quot;#,##0.00"/>
    <numFmt numFmtId="169" formatCode="_(* #,##0_);_(* \(#,##0\);_(* &quot;-&quot;??_);_(@_)"/>
    <numFmt numFmtId="170" formatCode="_(&quot;$&quot;* #,##0_);_(&quot;$&quot;* \(#,##0\);_(&quot;$&quot;* &quot;-&quot;??_);_(@_)"/>
    <numFmt numFmtId="171" formatCode="_(* #,##0.0000_);_(* \(#,##0.0000\);_(* &quot;-&quot;????_);_(@_)"/>
    <numFmt numFmtId="172" formatCode="_(* #,##0.0000_);_(* \(#,##0.0000\);_(* &quot;-&quot;_);_(@_)"/>
    <numFmt numFmtId="173" formatCode="_(* #,##0.00000_);_(* \(#,##0.00000\);_(* &quot;-&quot;??_);_(@_)"/>
    <numFmt numFmtId="174" formatCode="#\ ??/12"/>
    <numFmt numFmtId="175" formatCode="&quot;$&quot;#,##0\ ;\(&quot;$&quot;#,##0\)"/>
    <numFmt numFmtId="176" formatCode="_(* #,##0.0,_);_(* \(#,##0.0,\);_(* &quot;-   &quot;_);_(@_)"/>
    <numFmt numFmtId="177" formatCode="_(* #,##0.000000_);_(* \(#,##0.000000\);_(* &quot;-&quot;??_);_(@_)"/>
    <numFmt numFmtId="178" formatCode="_(* #,##0.000000000_);_(* \(#,##0.000000000\);_(* &quot;-&quot;_);_(@_)"/>
    <numFmt numFmtId="179" formatCode="0.0000%"/>
  </numFmts>
  <fonts count="102">
    <font>
      <sz val="10"/>
      <name val="Arial"/>
    </font>
    <font>
      <sz val="10"/>
      <name val="Arial"/>
      <family val="2"/>
    </font>
    <font>
      <sz val="11"/>
      <color indexed="8"/>
      <name val="Arial Narrow"/>
      <family val="2"/>
    </font>
    <font>
      <sz val="11"/>
      <color indexed="9"/>
      <name val="Arial Narrow"/>
      <family val="2"/>
    </font>
    <font>
      <sz val="11"/>
      <color indexed="20"/>
      <name val="Arial Narrow"/>
      <family val="2"/>
    </font>
    <font>
      <sz val="8"/>
      <name val="Arial"/>
      <family val="2"/>
    </font>
    <font>
      <b/>
      <sz val="14"/>
      <name val="Arial"/>
      <family val="2"/>
    </font>
    <font>
      <sz val="10"/>
      <name val="Arial"/>
      <family val="2"/>
    </font>
    <font>
      <b/>
      <i/>
      <sz val="14"/>
      <name val="Arial"/>
      <family val="2"/>
    </font>
    <font>
      <b/>
      <sz val="12"/>
      <name val="Arial"/>
      <family val="2"/>
    </font>
    <font>
      <b/>
      <sz val="11"/>
      <name val="Arial"/>
      <family val="2"/>
    </font>
    <font>
      <b/>
      <sz val="24"/>
      <name val="Arial Narrow"/>
      <family val="2"/>
    </font>
    <font>
      <b/>
      <i/>
      <sz val="12"/>
      <name val="Arial"/>
      <family val="2"/>
    </font>
    <font>
      <i/>
      <sz val="12"/>
      <name val="Arial"/>
      <family val="2"/>
    </font>
    <font>
      <sz val="12"/>
      <name val="Arial"/>
      <family val="2"/>
    </font>
    <font>
      <sz val="9"/>
      <name val="Arial"/>
      <family val="2"/>
    </font>
    <font>
      <i/>
      <sz val="10"/>
      <name val="Arial"/>
      <family val="2"/>
    </font>
    <font>
      <sz val="9"/>
      <color indexed="18"/>
      <name val="Arial"/>
      <family val="2"/>
    </font>
    <font>
      <i/>
      <sz val="10"/>
      <color indexed="18"/>
      <name val="Arial"/>
      <family val="2"/>
    </font>
    <font>
      <sz val="10"/>
      <color indexed="18"/>
      <name val="Arial"/>
      <family val="2"/>
    </font>
    <font>
      <sz val="8"/>
      <color indexed="18"/>
      <name val="Arial"/>
      <family val="2"/>
    </font>
    <font>
      <i/>
      <sz val="9"/>
      <color indexed="18"/>
      <name val="Arial"/>
      <family val="2"/>
    </font>
    <font>
      <b/>
      <sz val="11"/>
      <color indexed="52"/>
      <name val="Arial Narrow"/>
      <family val="2"/>
    </font>
    <font>
      <b/>
      <sz val="11"/>
      <color indexed="9"/>
      <name val="Arial Narrow"/>
      <family val="2"/>
    </font>
    <font>
      <i/>
      <sz val="11"/>
      <color indexed="23"/>
      <name val="Arial Narrow"/>
      <family val="2"/>
    </font>
    <font>
      <sz val="11"/>
      <color indexed="17"/>
      <name val="Arial Narrow"/>
      <family val="2"/>
    </font>
    <font>
      <b/>
      <sz val="18"/>
      <name val="Arial"/>
      <family val="2"/>
    </font>
    <font>
      <b/>
      <sz val="11"/>
      <color indexed="56"/>
      <name val="Arial Narrow"/>
      <family val="2"/>
    </font>
    <font>
      <b/>
      <sz val="14"/>
      <name val="Book Antiqua"/>
      <family val="1"/>
    </font>
    <font>
      <i/>
      <sz val="10"/>
      <name val="Book Antiqua"/>
      <family val="1"/>
    </font>
    <font>
      <sz val="11"/>
      <color indexed="62"/>
      <name val="Arial Narrow"/>
      <family val="2"/>
    </font>
    <font>
      <sz val="11"/>
      <color indexed="52"/>
      <name val="Arial Narrow"/>
      <family val="2"/>
    </font>
    <font>
      <sz val="11"/>
      <color indexed="60"/>
      <name val="Arial Narrow"/>
      <family val="2"/>
    </font>
    <font>
      <sz val="12"/>
      <name val="Arial MT"/>
    </font>
    <font>
      <b/>
      <sz val="11"/>
      <color indexed="63"/>
      <name val="Arial Narrow"/>
      <family val="2"/>
    </font>
    <font>
      <sz val="10"/>
      <name val="MS Sans Serif"/>
      <family val="2"/>
    </font>
    <font>
      <b/>
      <sz val="10"/>
      <name val="MS Sans Serif"/>
      <family val="2"/>
    </font>
    <font>
      <sz val="8"/>
      <color indexed="38"/>
      <name val="Arial"/>
      <family val="2"/>
    </font>
    <font>
      <b/>
      <sz val="9"/>
      <name val="Arial"/>
      <family val="2"/>
    </font>
    <font>
      <b/>
      <sz val="10"/>
      <name val="Arial"/>
      <family val="2"/>
    </font>
    <font>
      <b/>
      <i/>
      <sz val="16"/>
      <name val="Arial"/>
      <family val="2"/>
    </font>
    <font>
      <b/>
      <sz val="12"/>
      <color indexed="32"/>
      <name val="Arial"/>
      <family val="2"/>
    </font>
    <font>
      <i/>
      <sz val="11"/>
      <name val="Arial"/>
      <family val="2"/>
    </font>
    <font>
      <sz val="11"/>
      <name val="Arial"/>
      <family val="2"/>
    </font>
    <font>
      <b/>
      <sz val="18"/>
      <color indexed="56"/>
      <name val="Cambria"/>
      <family val="2"/>
    </font>
    <font>
      <sz val="11"/>
      <color indexed="10"/>
      <name val="Arial Narrow"/>
      <family val="2"/>
    </font>
    <font>
      <sz val="14"/>
      <name val="Arial"/>
      <family val="2"/>
    </font>
    <font>
      <b/>
      <sz val="14"/>
      <name val="MS Serif"/>
      <family val="1"/>
    </font>
    <font>
      <u/>
      <sz val="10"/>
      <name val="Arial"/>
      <family val="2"/>
    </font>
    <font>
      <sz val="10"/>
      <name val="MS Serif"/>
      <family val="1"/>
    </font>
    <font>
      <b/>
      <sz val="16"/>
      <name val="Arial"/>
      <family val="2"/>
    </font>
    <font>
      <sz val="12"/>
      <color indexed="12"/>
      <name val="Arial"/>
      <family val="2"/>
    </font>
    <font>
      <b/>
      <sz val="10"/>
      <color indexed="12"/>
      <name val="Arial"/>
      <family val="2"/>
    </font>
    <font>
      <b/>
      <sz val="10"/>
      <color indexed="10"/>
      <name val="Arial"/>
      <family val="2"/>
    </font>
    <font>
      <sz val="10"/>
      <color indexed="12"/>
      <name val="Arial"/>
      <family val="2"/>
    </font>
    <font>
      <sz val="10"/>
      <color indexed="10"/>
      <name val="Arial"/>
      <family val="2"/>
    </font>
    <font>
      <u val="singleAccounting"/>
      <sz val="10"/>
      <name val="Arial"/>
      <family val="2"/>
    </font>
    <font>
      <sz val="12"/>
      <color indexed="10"/>
      <name val="Arial"/>
      <family val="2"/>
    </font>
    <font>
      <b/>
      <sz val="10"/>
      <color indexed="8"/>
      <name val="Arial"/>
      <family val="2"/>
    </font>
    <font>
      <sz val="8"/>
      <color indexed="81"/>
      <name val="Tahoma"/>
      <family val="2"/>
    </font>
    <font>
      <b/>
      <sz val="8"/>
      <color indexed="81"/>
      <name val="Tahoma"/>
      <family val="2"/>
    </font>
    <font>
      <b/>
      <sz val="10"/>
      <color indexed="48"/>
      <name val="Arial"/>
      <family val="2"/>
    </font>
    <font>
      <sz val="8"/>
      <name val="Arial"/>
      <family val="2"/>
    </font>
    <font>
      <b/>
      <i/>
      <sz val="8"/>
      <color indexed="10"/>
      <name val="Arial"/>
      <family val="2"/>
    </font>
    <font>
      <sz val="10"/>
      <color indexed="12"/>
      <name val="Arial"/>
      <family val="2"/>
    </font>
    <font>
      <b/>
      <u/>
      <sz val="10"/>
      <name val="Arial"/>
      <family val="2"/>
    </font>
    <font>
      <b/>
      <sz val="10"/>
      <color indexed="57"/>
      <name val="Arial"/>
      <family val="2"/>
    </font>
    <font>
      <sz val="14"/>
      <color indexed="12"/>
      <name val="Arial"/>
      <family val="2"/>
    </font>
    <font>
      <sz val="10"/>
      <color indexed="9"/>
      <name val="Arial"/>
      <family val="2"/>
    </font>
    <font>
      <sz val="12"/>
      <name val="Arial"/>
      <family val="2"/>
    </font>
    <font>
      <b/>
      <sz val="12"/>
      <color indexed="12"/>
      <name val="Arial"/>
      <family val="2"/>
    </font>
    <font>
      <sz val="10"/>
      <color indexed="13"/>
      <name val="Arial"/>
      <family val="2"/>
    </font>
    <font>
      <sz val="10"/>
      <color indexed="10"/>
      <name val="Arial"/>
      <family val="2"/>
    </font>
    <font>
      <i/>
      <sz val="8"/>
      <color indexed="81"/>
      <name val="Tahoma"/>
      <family val="2"/>
    </font>
    <font>
      <sz val="8"/>
      <color indexed="10"/>
      <name val="Arial"/>
      <family val="2"/>
    </font>
    <font>
      <b/>
      <sz val="9"/>
      <color indexed="81"/>
      <name val="Tahoma"/>
      <family val="2"/>
    </font>
    <font>
      <sz val="9"/>
      <color indexed="81"/>
      <name val="Tahoma"/>
      <family val="2"/>
    </font>
    <font>
      <sz val="10"/>
      <name val="Arial"/>
      <family val="2"/>
    </font>
    <font>
      <sz val="10"/>
      <color indexed="30"/>
      <name val="Arial"/>
      <family val="2"/>
    </font>
    <font>
      <b/>
      <sz val="10"/>
      <color indexed="30"/>
      <name val="Arial"/>
      <family val="2"/>
    </font>
    <font>
      <sz val="10"/>
      <color indexed="12"/>
      <name val="Arial"/>
      <family val="2"/>
    </font>
    <font>
      <b/>
      <sz val="12"/>
      <color indexed="10"/>
      <name val="Arial"/>
      <family val="2"/>
    </font>
    <font>
      <sz val="12"/>
      <color indexed="10"/>
      <name val="Arial"/>
      <family val="2"/>
    </font>
    <font>
      <sz val="10"/>
      <name val="Arial"/>
      <family val="2"/>
    </font>
    <font>
      <sz val="10"/>
      <color indexed="22"/>
      <name val="Arial"/>
      <family val="2"/>
    </font>
    <font>
      <sz val="10"/>
      <color indexed="8"/>
      <name val="Calibri"/>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sz val="11"/>
      <color indexed="10"/>
      <name val="Calibri"/>
      <family val="2"/>
    </font>
    <font>
      <b/>
      <sz val="18"/>
      <color indexed="22"/>
      <name val="Arial"/>
      <family val="2"/>
    </font>
    <font>
      <b/>
      <sz val="12"/>
      <color indexed="22"/>
      <name val="Arial"/>
      <family val="2"/>
    </font>
    <font>
      <sz val="10"/>
      <name val="Arial"/>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mediumGray">
        <fgColor indexed="22"/>
      </patternFill>
    </fill>
    <fill>
      <patternFill patternType="solid">
        <fgColor indexed="22"/>
        <bgColor indexed="64"/>
      </patternFill>
    </fill>
    <fill>
      <patternFill patternType="solid">
        <fgColor indexed="42"/>
        <bgColor indexed="64"/>
      </patternFill>
    </fill>
    <fill>
      <patternFill patternType="solid">
        <fgColor indexed="43"/>
        <bgColor indexed="64"/>
      </patternFill>
    </fill>
  </fills>
  <borders count="51">
    <border>
      <left/>
      <right/>
      <top/>
      <bottom/>
      <diagonal/>
    </border>
    <border>
      <left/>
      <right/>
      <top style="double">
        <color indexed="64"/>
      </top>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medium">
        <color indexed="30"/>
      </bottom>
      <diagonal/>
    </border>
    <border>
      <left/>
      <right/>
      <top/>
      <bottom style="medium">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s>
  <cellStyleXfs count="264">
    <xf numFmtId="0" fontId="0" fillId="0" borderId="0"/>
    <xf numFmtId="0" fontId="2" fillId="2" borderId="0" applyNumberFormat="0" applyBorder="0" applyAlignment="0" applyProtection="0"/>
    <xf numFmtId="0" fontId="86" fillId="2" borderId="0" applyNumberFormat="0" applyBorder="0" applyAlignment="0" applyProtection="0"/>
    <xf numFmtId="0" fontId="2" fillId="3" borderId="0" applyNumberFormat="0" applyBorder="0" applyAlignment="0" applyProtection="0"/>
    <xf numFmtId="0" fontId="86" fillId="3" borderId="0" applyNumberFormat="0" applyBorder="0" applyAlignment="0" applyProtection="0"/>
    <xf numFmtId="0" fontId="2" fillId="4" borderId="0" applyNumberFormat="0" applyBorder="0" applyAlignment="0" applyProtection="0"/>
    <xf numFmtId="0" fontId="86" fillId="4" borderId="0" applyNumberFormat="0" applyBorder="0" applyAlignment="0" applyProtection="0"/>
    <xf numFmtId="0" fontId="2" fillId="5" borderId="0" applyNumberFormat="0" applyBorder="0" applyAlignment="0" applyProtection="0"/>
    <xf numFmtId="0" fontId="86" fillId="5" borderId="0" applyNumberFormat="0" applyBorder="0" applyAlignment="0" applyProtection="0"/>
    <xf numFmtId="0" fontId="2" fillId="6" borderId="0" applyNumberFormat="0" applyBorder="0" applyAlignment="0" applyProtection="0"/>
    <xf numFmtId="0" fontId="86" fillId="6" borderId="0" applyNumberFormat="0" applyBorder="0" applyAlignment="0" applyProtection="0"/>
    <xf numFmtId="0" fontId="2" fillId="7" borderId="0" applyNumberFormat="0" applyBorder="0" applyAlignment="0" applyProtection="0"/>
    <xf numFmtId="0" fontId="86" fillId="7" borderId="0" applyNumberFormat="0" applyBorder="0" applyAlignment="0" applyProtection="0"/>
    <xf numFmtId="0" fontId="2" fillId="8" borderId="0" applyNumberFormat="0" applyBorder="0" applyAlignment="0" applyProtection="0"/>
    <xf numFmtId="0" fontId="86" fillId="8" borderId="0" applyNumberFormat="0" applyBorder="0" applyAlignment="0" applyProtection="0"/>
    <xf numFmtId="0" fontId="2" fillId="9" borderId="0" applyNumberFormat="0" applyBorder="0" applyAlignment="0" applyProtection="0"/>
    <xf numFmtId="0" fontId="86" fillId="9" borderId="0" applyNumberFormat="0" applyBorder="0" applyAlignment="0" applyProtection="0"/>
    <xf numFmtId="0" fontId="2" fillId="10" borderId="0" applyNumberFormat="0" applyBorder="0" applyAlignment="0" applyProtection="0"/>
    <xf numFmtId="0" fontId="86" fillId="10" borderId="0" applyNumberFormat="0" applyBorder="0" applyAlignment="0" applyProtection="0"/>
    <xf numFmtId="0" fontId="2" fillId="5" borderId="0" applyNumberFormat="0" applyBorder="0" applyAlignment="0" applyProtection="0"/>
    <xf numFmtId="0" fontId="86" fillId="5" borderId="0" applyNumberFormat="0" applyBorder="0" applyAlignment="0" applyProtection="0"/>
    <xf numFmtId="0" fontId="2" fillId="8" borderId="0" applyNumberFormat="0" applyBorder="0" applyAlignment="0" applyProtection="0"/>
    <xf numFmtId="0" fontId="86" fillId="8" borderId="0" applyNumberFormat="0" applyBorder="0" applyAlignment="0" applyProtection="0"/>
    <xf numFmtId="0" fontId="2" fillId="11" borderId="0" applyNumberFormat="0" applyBorder="0" applyAlignment="0" applyProtection="0"/>
    <xf numFmtId="0" fontId="86" fillId="11" borderId="0" applyNumberFormat="0" applyBorder="0" applyAlignment="0" applyProtection="0"/>
    <xf numFmtId="0" fontId="3" fillId="12" borderId="0" applyNumberFormat="0" applyBorder="0" applyAlignment="0" applyProtection="0"/>
    <xf numFmtId="0" fontId="87" fillId="12" borderId="0" applyNumberFormat="0" applyBorder="0" applyAlignment="0" applyProtection="0"/>
    <xf numFmtId="0" fontId="3" fillId="9" borderId="0" applyNumberFormat="0" applyBorder="0" applyAlignment="0" applyProtection="0"/>
    <xf numFmtId="0" fontId="87" fillId="9" borderId="0" applyNumberFormat="0" applyBorder="0" applyAlignment="0" applyProtection="0"/>
    <xf numFmtId="0" fontId="3" fillId="10" borderId="0" applyNumberFormat="0" applyBorder="0" applyAlignment="0" applyProtection="0"/>
    <xf numFmtId="0" fontId="87" fillId="10" borderId="0" applyNumberFormat="0" applyBorder="0" applyAlignment="0" applyProtection="0"/>
    <xf numFmtId="0" fontId="3" fillId="13" borderId="0" applyNumberFormat="0" applyBorder="0" applyAlignment="0" applyProtection="0"/>
    <xf numFmtId="0" fontId="87" fillId="13" borderId="0" applyNumberFormat="0" applyBorder="0" applyAlignment="0" applyProtection="0"/>
    <xf numFmtId="0" fontId="3" fillId="14" borderId="0" applyNumberFormat="0" applyBorder="0" applyAlignment="0" applyProtection="0"/>
    <xf numFmtId="0" fontId="87" fillId="14" borderId="0" applyNumberFormat="0" applyBorder="0" applyAlignment="0" applyProtection="0"/>
    <xf numFmtId="0" fontId="3" fillId="15" borderId="0" applyNumberFormat="0" applyBorder="0" applyAlignment="0" applyProtection="0"/>
    <xf numFmtId="0" fontId="87" fillId="15" borderId="0" applyNumberFormat="0" applyBorder="0" applyAlignment="0" applyProtection="0"/>
    <xf numFmtId="0" fontId="3" fillId="16" borderId="0" applyNumberFormat="0" applyBorder="0" applyAlignment="0" applyProtection="0"/>
    <xf numFmtId="0" fontId="87" fillId="16" borderId="0" applyNumberFormat="0" applyBorder="0" applyAlignment="0" applyProtection="0"/>
    <xf numFmtId="0" fontId="3" fillId="17" borderId="0" applyNumberFormat="0" applyBorder="0" applyAlignment="0" applyProtection="0"/>
    <xf numFmtId="0" fontId="87" fillId="17" borderId="0" applyNumberFormat="0" applyBorder="0" applyAlignment="0" applyProtection="0"/>
    <xf numFmtId="0" fontId="3" fillId="18" borderId="0" applyNumberFormat="0" applyBorder="0" applyAlignment="0" applyProtection="0"/>
    <xf numFmtId="0" fontId="87" fillId="18" borderId="0" applyNumberFormat="0" applyBorder="0" applyAlignment="0" applyProtection="0"/>
    <xf numFmtId="0" fontId="3" fillId="13" borderId="0" applyNumberFormat="0" applyBorder="0" applyAlignment="0" applyProtection="0"/>
    <xf numFmtId="0" fontId="87" fillId="13" borderId="0" applyNumberFormat="0" applyBorder="0" applyAlignment="0" applyProtection="0"/>
    <xf numFmtId="0" fontId="3" fillId="14" borderId="0" applyNumberFormat="0" applyBorder="0" applyAlignment="0" applyProtection="0"/>
    <xf numFmtId="0" fontId="87" fillId="14" borderId="0" applyNumberFormat="0" applyBorder="0" applyAlignment="0" applyProtection="0"/>
    <xf numFmtId="0" fontId="3" fillId="19" borderId="0" applyNumberFormat="0" applyBorder="0" applyAlignment="0" applyProtection="0"/>
    <xf numFmtId="0" fontId="87" fillId="19" borderId="0" applyNumberFormat="0" applyBorder="0" applyAlignment="0" applyProtection="0"/>
    <xf numFmtId="0" fontId="4" fillId="3" borderId="0" applyNumberFormat="0" applyBorder="0" applyAlignment="0" applyProtection="0"/>
    <xf numFmtId="0" fontId="88" fillId="3" borderId="0" applyNumberFormat="0" applyBorder="0" applyAlignment="0" applyProtection="0"/>
    <xf numFmtId="168" fontId="5" fillId="0" borderId="0" applyFill="0"/>
    <xf numFmtId="168" fontId="5" fillId="0" borderId="0">
      <alignment horizontal="center"/>
    </xf>
    <xf numFmtId="0" fontId="5" fillId="0" borderId="0" applyFill="0">
      <alignment horizontal="center"/>
    </xf>
    <xf numFmtId="168" fontId="6" fillId="0" borderId="1" applyFill="0"/>
    <xf numFmtId="0" fontId="7" fillId="0" borderId="0" applyFont="0" applyAlignment="0"/>
    <xf numFmtId="0" fontId="8" fillId="0" borderId="0" applyFill="0">
      <alignment vertical="top"/>
    </xf>
    <xf numFmtId="0" fontId="6" fillId="0" borderId="0" applyFill="0">
      <alignment horizontal="left" vertical="top"/>
    </xf>
    <xf numFmtId="168" fontId="9" fillId="0" borderId="2" applyFill="0"/>
    <xf numFmtId="0" fontId="7" fillId="0" borderId="0" applyNumberFormat="0" applyFont="0" applyAlignment="0"/>
    <xf numFmtId="0" fontId="8" fillId="0" borderId="0" applyFill="0">
      <alignment wrapText="1"/>
    </xf>
    <xf numFmtId="0" fontId="6" fillId="0" borderId="0" applyFill="0">
      <alignment horizontal="left" vertical="top" wrapText="1"/>
    </xf>
    <xf numFmtId="168" fontId="10" fillId="0" borderId="0" applyFill="0"/>
    <xf numFmtId="0" fontId="11" fillId="0" borderId="0" applyNumberFormat="0" applyFont="0" applyAlignment="0">
      <alignment horizontal="center"/>
    </xf>
    <xf numFmtId="0" fontId="12" fillId="0" borderId="0" applyFill="0">
      <alignment vertical="top" wrapText="1"/>
    </xf>
    <xf numFmtId="0" fontId="9" fillId="0" borderId="0" applyFill="0">
      <alignment horizontal="left" vertical="top" wrapText="1"/>
    </xf>
    <xf numFmtId="168" fontId="7" fillId="0" borderId="0" applyFill="0"/>
    <xf numFmtId="0" fontId="11" fillId="0" borderId="0" applyNumberFormat="0" applyFont="0" applyAlignment="0">
      <alignment horizontal="center"/>
    </xf>
    <xf numFmtId="0" fontId="13" fillId="0" borderId="0" applyFill="0">
      <alignment vertical="center" wrapText="1"/>
    </xf>
    <xf numFmtId="0" fontId="14" fillId="0" borderId="0">
      <alignment horizontal="left" vertical="center" wrapText="1"/>
    </xf>
    <xf numFmtId="168" fontId="15" fillId="0" borderId="0" applyFill="0"/>
    <xf numFmtId="0" fontId="11" fillId="0" borderId="0" applyNumberFormat="0" applyFont="0" applyAlignment="0">
      <alignment horizontal="center"/>
    </xf>
    <xf numFmtId="0" fontId="16" fillId="0" borderId="0" applyFill="0">
      <alignment horizontal="center" vertical="center" wrapText="1"/>
    </xf>
    <xf numFmtId="0" fontId="7" fillId="0" borderId="0" applyFill="0">
      <alignment horizontal="center" vertical="center" wrapText="1"/>
    </xf>
    <xf numFmtId="168" fontId="17" fillId="0" borderId="0" applyFill="0"/>
    <xf numFmtId="0" fontId="11" fillId="0" borderId="0" applyNumberFormat="0" applyFont="0" applyAlignment="0">
      <alignment horizontal="center"/>
    </xf>
    <xf numFmtId="0" fontId="18" fillId="0" borderId="0" applyFill="0">
      <alignment horizontal="center" vertical="center" wrapText="1"/>
    </xf>
    <xf numFmtId="0" fontId="19" fillId="0" borderId="0" applyFill="0">
      <alignment horizontal="center" vertical="center" wrapText="1"/>
    </xf>
    <xf numFmtId="168" fontId="20" fillId="0" borderId="0" applyFill="0"/>
    <xf numFmtId="0" fontId="11" fillId="0" borderId="0" applyNumberFormat="0" applyFont="0" applyAlignment="0">
      <alignment horizontal="center"/>
    </xf>
    <xf numFmtId="0" fontId="21" fillId="0" borderId="0">
      <alignment horizontal="center" wrapText="1"/>
    </xf>
    <xf numFmtId="0" fontId="17" fillId="0" borderId="0" applyFill="0">
      <alignment horizontal="center" wrapText="1"/>
    </xf>
    <xf numFmtId="0" fontId="22" fillId="20" borderId="3" applyNumberFormat="0" applyAlignment="0" applyProtection="0"/>
    <xf numFmtId="0" fontId="89" fillId="20" borderId="3" applyNumberFormat="0" applyAlignment="0" applyProtection="0"/>
    <xf numFmtId="0" fontId="23" fillId="21" borderId="4" applyNumberFormat="0" applyAlignment="0" applyProtection="0"/>
    <xf numFmtId="0" fontId="90" fillId="21" borderId="4" applyNumberFormat="0" applyAlignment="0" applyProtection="0"/>
    <xf numFmtId="43" fontId="1"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7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3" fontId="7" fillId="0" borderId="0" applyFont="0" applyFill="0" applyBorder="0" applyAlignment="0" applyProtection="0"/>
    <xf numFmtId="3" fontId="84" fillId="0" borderId="0" applyFont="0" applyFill="0" applyBorder="0" applyAlignment="0" applyProtection="0"/>
    <xf numFmtId="3" fontId="84" fillId="0" borderId="0" applyFont="0" applyFill="0" applyBorder="0" applyAlignment="0" applyProtection="0"/>
    <xf numFmtId="3" fontId="84"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77" fillId="0" borderId="0" applyFont="0" applyFill="0" applyBorder="0" applyAlignment="0" applyProtection="0"/>
    <xf numFmtId="44" fontId="7" fillId="0" borderId="0" applyFont="0" applyFill="0" applyBorder="0" applyAlignment="0" applyProtection="0"/>
    <xf numFmtId="44" fontId="83" fillId="0" borderId="0" applyFont="0" applyFill="0" applyBorder="0" applyAlignment="0" applyProtection="0"/>
    <xf numFmtId="44" fontId="83" fillId="0" borderId="0" applyFont="0" applyFill="0" applyBorder="0" applyAlignment="0" applyProtection="0"/>
    <xf numFmtId="44" fontId="7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83" fillId="0" borderId="0" applyFont="0" applyFill="0" applyBorder="0" applyAlignment="0" applyProtection="0"/>
    <xf numFmtId="44" fontId="7" fillId="0" borderId="0" applyFont="0" applyFill="0" applyBorder="0" applyAlignment="0" applyProtection="0"/>
    <xf numFmtId="44" fontId="83" fillId="0" borderId="0" applyFont="0" applyFill="0" applyBorder="0" applyAlignment="0" applyProtection="0"/>
    <xf numFmtId="44" fontId="7" fillId="0" borderId="0" applyFont="0" applyFill="0" applyBorder="0" applyAlignment="0" applyProtection="0"/>
    <xf numFmtId="44" fontId="83" fillId="0" borderId="0" applyFont="0" applyFill="0" applyBorder="0" applyAlignment="0" applyProtection="0"/>
    <xf numFmtId="44" fontId="7" fillId="0" borderId="0" applyFont="0" applyFill="0" applyBorder="0" applyAlignment="0" applyProtection="0"/>
    <xf numFmtId="5" fontId="7" fillId="0" borderId="0" applyFont="0" applyFill="0" applyBorder="0" applyAlignment="0" applyProtection="0"/>
    <xf numFmtId="175" fontId="84" fillId="0" borderId="0" applyFont="0" applyFill="0" applyBorder="0" applyAlignment="0" applyProtection="0"/>
    <xf numFmtId="175" fontId="84" fillId="0" borderId="0" applyFont="0" applyFill="0" applyBorder="0" applyAlignment="0" applyProtection="0"/>
    <xf numFmtId="175" fontId="84" fillId="0" borderId="0" applyFont="0" applyFill="0" applyBorder="0" applyAlignment="0" applyProtection="0"/>
    <xf numFmtId="14" fontId="7"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0" fontId="84" fillId="0" borderId="0" applyFont="0" applyFill="0" applyBorder="0" applyAlignment="0" applyProtection="0"/>
    <xf numFmtId="0" fontId="24" fillId="0" borderId="0" applyNumberFormat="0" applyFill="0" applyBorder="0" applyAlignment="0" applyProtection="0"/>
    <xf numFmtId="0" fontId="91" fillId="0" borderId="0" applyNumberFormat="0" applyFill="0" applyBorder="0" applyAlignment="0" applyProtection="0"/>
    <xf numFmtId="2" fontId="7" fillId="0" borderId="0" applyFont="0" applyFill="0" applyBorder="0" applyAlignment="0" applyProtection="0"/>
    <xf numFmtId="2" fontId="84" fillId="0" borderId="0" applyFont="0" applyFill="0" applyBorder="0" applyAlignment="0" applyProtection="0"/>
    <xf numFmtId="2" fontId="84" fillId="0" borderId="0" applyFont="0" applyFill="0" applyBorder="0" applyAlignment="0" applyProtection="0"/>
    <xf numFmtId="2" fontId="84" fillId="0" borderId="0" applyFont="0" applyFill="0" applyBorder="0" applyAlignment="0" applyProtection="0"/>
    <xf numFmtId="0" fontId="25" fillId="4" borderId="0" applyNumberFormat="0" applyBorder="0" applyAlignment="0" applyProtection="0"/>
    <xf numFmtId="0" fontId="92" fillId="4" borderId="0" applyNumberFormat="0" applyBorder="0" applyAlignment="0" applyProtection="0"/>
    <xf numFmtId="0" fontId="26"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 fillId="0" borderId="0" applyFon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100" fillId="0" borderId="0" applyNumberFormat="0" applyFill="0" applyBorder="0" applyAlignment="0" applyProtection="0"/>
    <xf numFmtId="0" fontId="27" fillId="0" borderId="5" applyNumberFormat="0" applyFill="0" applyAlignment="0" applyProtection="0"/>
    <xf numFmtId="0" fontId="93" fillId="0" borderId="5" applyNumberFormat="0" applyFill="0" applyAlignment="0" applyProtection="0"/>
    <xf numFmtId="0" fontId="27" fillId="0" borderId="0" applyNumberFormat="0" applyFill="0" applyBorder="0" applyAlignment="0" applyProtection="0"/>
    <xf numFmtId="0" fontId="93" fillId="0" borderId="0" applyNumberFormat="0" applyFill="0" applyBorder="0" applyAlignment="0" applyProtection="0"/>
    <xf numFmtId="0" fontId="28" fillId="0" borderId="6"/>
    <xf numFmtId="0" fontId="29" fillId="0" borderId="0"/>
    <xf numFmtId="0" fontId="30" fillId="7" borderId="3" applyNumberFormat="0" applyAlignment="0" applyProtection="0"/>
    <xf numFmtId="0" fontId="94" fillId="7" borderId="3" applyNumberFormat="0" applyAlignment="0" applyProtection="0"/>
    <xf numFmtId="0" fontId="31" fillId="0" borderId="7" applyNumberFormat="0" applyFill="0" applyAlignment="0" applyProtection="0"/>
    <xf numFmtId="0" fontId="95" fillId="0" borderId="7" applyNumberFormat="0" applyFill="0" applyAlignment="0" applyProtection="0"/>
    <xf numFmtId="176" fontId="83"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176" fontId="7" fillId="0" borderId="0"/>
    <xf numFmtId="0" fontId="32" fillId="22" borderId="0" applyNumberFormat="0" applyBorder="0" applyAlignment="0" applyProtection="0"/>
    <xf numFmtId="0" fontId="96" fillId="22" borderId="0" applyNumberFormat="0" applyBorder="0" applyAlignment="0" applyProtection="0"/>
    <xf numFmtId="0" fontId="7" fillId="0" borderId="0"/>
    <xf numFmtId="0" fontId="7" fillId="0" borderId="0"/>
    <xf numFmtId="0" fontId="85" fillId="0" borderId="0"/>
    <xf numFmtId="0" fontId="7" fillId="0" borderId="0"/>
    <xf numFmtId="0" fontId="7" fillId="0" borderId="0"/>
    <xf numFmtId="0" fontId="85" fillId="0" borderId="0"/>
    <xf numFmtId="0" fontId="7" fillId="0" borderId="0"/>
    <xf numFmtId="0" fontId="1" fillId="0" borderId="0"/>
    <xf numFmtId="0" fontId="7" fillId="0" borderId="0"/>
    <xf numFmtId="0" fontId="77" fillId="0" borderId="0"/>
    <xf numFmtId="0" fontId="7" fillId="0" borderId="0"/>
    <xf numFmtId="0" fontId="83" fillId="0" borderId="0"/>
    <xf numFmtId="0" fontId="83" fillId="0" borderId="0"/>
    <xf numFmtId="0" fontId="83" fillId="0" borderId="0"/>
    <xf numFmtId="0" fontId="85" fillId="0" borderId="0"/>
    <xf numFmtId="0" fontId="7" fillId="0" borderId="0"/>
    <xf numFmtId="0" fontId="7" fillId="0" borderId="0"/>
    <xf numFmtId="168" fontId="33" fillId="0" borderId="0" applyProtection="0"/>
    <xf numFmtId="0" fontId="33" fillId="23" borderId="8" applyNumberFormat="0" applyFont="0" applyAlignment="0" applyProtection="0"/>
    <xf numFmtId="0" fontId="7" fillId="23" borderId="8" applyNumberFormat="0" applyFont="0" applyAlignment="0" applyProtection="0"/>
    <xf numFmtId="0" fontId="34" fillId="20" borderId="9" applyNumberFormat="0" applyAlignment="0" applyProtection="0"/>
    <xf numFmtId="0" fontId="97" fillId="20" borderId="9" applyNumberFormat="0" applyAlignment="0" applyProtection="0"/>
    <xf numFmtId="9" fontId="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77" fillId="0" borderId="0" applyFont="0" applyFill="0" applyBorder="0" applyAlignment="0" applyProtection="0"/>
    <xf numFmtId="9" fontId="7"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9" fontId="7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0" fontId="35" fillId="0" borderId="0" applyNumberFormat="0" applyFont="0" applyFill="0" applyBorder="0" applyAlignment="0" applyProtection="0">
      <alignment horizontal="left"/>
    </xf>
    <xf numFmtId="0" fontId="35" fillId="0" borderId="0" applyNumberFormat="0" applyFont="0" applyFill="0" applyBorder="0" applyAlignment="0" applyProtection="0">
      <alignment horizontal="left"/>
    </xf>
    <xf numFmtId="0" fontId="35" fillId="0" borderId="0" applyNumberFormat="0" applyFont="0" applyFill="0" applyBorder="0" applyAlignment="0" applyProtection="0">
      <alignment horizontal="left"/>
    </xf>
    <xf numFmtId="15" fontId="35" fillId="0" borderId="0" applyFont="0" applyFill="0" applyBorder="0" applyAlignment="0" applyProtection="0"/>
    <xf numFmtId="4" fontId="35" fillId="0" borderId="0" applyFont="0" applyFill="0" applyBorder="0" applyAlignment="0" applyProtection="0"/>
    <xf numFmtId="3" fontId="7" fillId="0" borderId="0">
      <alignment horizontal="left" vertical="top"/>
    </xf>
    <xf numFmtId="0" fontId="36" fillId="0" borderId="6">
      <alignment horizontal="center"/>
    </xf>
    <xf numFmtId="3" fontId="35" fillId="0" borderId="0" applyFont="0" applyFill="0" applyBorder="0" applyAlignment="0" applyProtection="0"/>
    <xf numFmtId="0" fontId="35" fillId="24" borderId="0" applyNumberFormat="0" applyFont="0" applyBorder="0" applyAlignment="0" applyProtection="0"/>
    <xf numFmtId="3" fontId="7" fillId="0" borderId="0">
      <alignment horizontal="right" vertical="top"/>
    </xf>
    <xf numFmtId="41" fontId="14" fillId="25" borderId="10" applyFill="0"/>
    <xf numFmtId="0" fontId="37" fillId="0" borderId="0">
      <alignment horizontal="left" indent="7"/>
    </xf>
    <xf numFmtId="41" fontId="14" fillId="0" borderId="10" applyFill="0">
      <alignment horizontal="left" indent="2"/>
    </xf>
    <xf numFmtId="168" fontId="38" fillId="0" borderId="11" applyFill="0">
      <alignment horizontal="right"/>
    </xf>
    <xf numFmtId="0" fontId="39" fillId="0" borderId="12" applyNumberFormat="0" applyFont="0" applyBorder="0">
      <alignment horizontal="right"/>
    </xf>
    <xf numFmtId="0" fontId="40" fillId="0" borderId="0" applyFill="0"/>
    <xf numFmtId="0" fontId="9" fillId="0" borderId="0" applyFill="0"/>
    <xf numFmtId="4" fontId="38" fillId="0" borderId="11" applyFill="0"/>
    <xf numFmtId="0" fontId="7" fillId="0" borderId="0" applyNumberFormat="0" applyFont="0" applyBorder="0" applyAlignment="0"/>
    <xf numFmtId="0" fontId="12" fillId="0" borderId="0" applyFill="0">
      <alignment horizontal="left" indent="1"/>
    </xf>
    <xf numFmtId="0" fontId="41" fillId="0" borderId="0" applyFill="0">
      <alignment horizontal="left" indent="1"/>
    </xf>
    <xf numFmtId="4" fontId="15" fillId="0" borderId="0" applyFill="0"/>
    <xf numFmtId="0" fontId="7" fillId="0" borderId="0" applyNumberFormat="0" applyFont="0" applyFill="0" applyBorder="0" applyAlignment="0"/>
    <xf numFmtId="0" fontId="12" fillId="0" borderId="0" applyFill="0">
      <alignment horizontal="left" indent="2"/>
    </xf>
    <xf numFmtId="0" fontId="9" fillId="0" borderId="0" applyFill="0">
      <alignment horizontal="left" indent="2"/>
    </xf>
    <xf numFmtId="4" fontId="15" fillId="0" borderId="0" applyFill="0"/>
    <xf numFmtId="0" fontId="7" fillId="0" borderId="0" applyNumberFormat="0" applyFont="0" applyBorder="0" applyAlignment="0"/>
    <xf numFmtId="0" fontId="42" fillId="0" borderId="0">
      <alignment horizontal="left" indent="3"/>
    </xf>
    <xf numFmtId="0" fontId="43" fillId="0" borderId="0" applyFill="0">
      <alignment horizontal="left" indent="3"/>
    </xf>
    <xf numFmtId="4" fontId="15" fillId="0" borderId="0" applyFill="0"/>
    <xf numFmtId="0" fontId="7" fillId="0" borderId="0" applyNumberFormat="0" applyFont="0" applyBorder="0" applyAlignment="0"/>
    <xf numFmtId="0" fontId="16" fillId="0" borderId="0">
      <alignment horizontal="left" indent="4"/>
    </xf>
    <xf numFmtId="0" fontId="7" fillId="0" borderId="0" applyFill="0">
      <alignment horizontal="left" indent="4"/>
    </xf>
    <xf numFmtId="4" fontId="17" fillId="0" borderId="0" applyFill="0"/>
    <xf numFmtId="0" fontId="7" fillId="0" borderId="0" applyNumberFormat="0" applyFont="0" applyBorder="0" applyAlignment="0"/>
    <xf numFmtId="0" fontId="18" fillId="0" borderId="0">
      <alignment horizontal="left" indent="5"/>
    </xf>
    <xf numFmtId="0" fontId="19" fillId="0" borderId="0" applyFill="0">
      <alignment horizontal="left" indent="5"/>
    </xf>
    <xf numFmtId="4" fontId="20" fillId="0" borderId="0" applyFill="0"/>
    <xf numFmtId="0" fontId="7" fillId="0" borderId="0" applyNumberFormat="0" applyFont="0" applyFill="0" applyBorder="0" applyAlignment="0"/>
    <xf numFmtId="0" fontId="21" fillId="0" borderId="0" applyFill="0">
      <alignment horizontal="left" indent="6"/>
    </xf>
    <xf numFmtId="0" fontId="17" fillId="0" borderId="0" applyFill="0">
      <alignment horizontal="left" indent="6"/>
    </xf>
    <xf numFmtId="0" fontId="44" fillId="0" borderId="0" applyNumberFormat="0" applyFill="0" applyBorder="0" applyAlignment="0" applyProtection="0"/>
    <xf numFmtId="0" fontId="44" fillId="0" borderId="0" applyNumberFormat="0" applyFill="0" applyBorder="0" applyAlignment="0" applyProtection="0"/>
    <xf numFmtId="0" fontId="7" fillId="0" borderId="0" applyFont="0" applyFill="0" applyBorder="0" applyAlignment="0" applyProtection="0"/>
    <xf numFmtId="0" fontId="84" fillId="0" borderId="1" applyNumberFormat="0" applyFont="0" applyFill="0" applyAlignment="0" applyProtection="0"/>
    <xf numFmtId="0" fontId="84" fillId="0" borderId="1" applyNumberFormat="0" applyFont="0" applyFill="0" applyAlignment="0" applyProtection="0"/>
    <xf numFmtId="0" fontId="84" fillId="0" borderId="1" applyNumberFormat="0" applyFont="0" applyFill="0" applyAlignment="0" applyProtection="0"/>
    <xf numFmtId="0" fontId="45" fillId="0" borderId="0" applyNumberFormat="0" applyFill="0" applyBorder="0" applyAlignment="0" applyProtection="0"/>
    <xf numFmtId="0" fontId="98" fillId="0" borderId="0" applyNumberFormat="0" applyFill="0" applyBorder="0" applyAlignment="0" applyProtection="0"/>
    <xf numFmtId="43" fontId="1" fillId="0" borderId="0" applyFont="0" applyFill="0" applyBorder="0" applyAlignment="0" applyProtection="0"/>
  </cellStyleXfs>
  <cellXfs count="556">
    <xf numFmtId="0" fontId="0" fillId="0" borderId="0" xfId="0"/>
    <xf numFmtId="0" fontId="7" fillId="0" borderId="0" xfId="0" applyFont="1"/>
    <xf numFmtId="0" fontId="7" fillId="0" borderId="0" xfId="0" applyFont="1" applyAlignment="1">
      <alignment horizontal="center"/>
    </xf>
    <xf numFmtId="169" fontId="7" fillId="0" borderId="0" xfId="86" applyNumberFormat="1" applyFont="1"/>
    <xf numFmtId="0" fontId="47" fillId="0" borderId="0" xfId="0" applyFont="1"/>
    <xf numFmtId="0" fontId="0" fillId="0" borderId="0" xfId="0" applyAlignment="1">
      <alignment wrapText="1"/>
    </xf>
    <xf numFmtId="0" fontId="9" fillId="0" borderId="0" xfId="0" applyFont="1" applyAlignment="1">
      <alignment horizontal="left"/>
    </xf>
    <xf numFmtId="10" fontId="7" fillId="0" borderId="0" xfId="0" applyNumberFormat="1" applyFont="1"/>
    <xf numFmtId="0" fontId="14" fillId="0" borderId="0" xfId="191" applyNumberFormat="1" applyFont="1" applyProtection="1">
      <protection locked="0"/>
    </xf>
    <xf numFmtId="0" fontId="6" fillId="0" borderId="0" xfId="0" applyFont="1"/>
    <xf numFmtId="0" fontId="7" fillId="0" borderId="0" xfId="0" applyFont="1" applyAlignment="1">
      <alignment wrapText="1"/>
    </xf>
    <xf numFmtId="169" fontId="7" fillId="0" borderId="0" xfId="0" applyNumberFormat="1" applyFont="1"/>
    <xf numFmtId="0" fontId="46" fillId="0" borderId="0" xfId="0" applyFont="1" applyAlignment="1">
      <alignment horizontal="right"/>
    </xf>
    <xf numFmtId="169" fontId="7" fillId="0" borderId="0" xfId="86" applyNumberFormat="1" applyFont="1" applyBorder="1"/>
    <xf numFmtId="0" fontId="39" fillId="0" borderId="0" xfId="0" applyFont="1" applyAlignment="1">
      <alignment horizontal="left"/>
    </xf>
    <xf numFmtId="0" fontId="51" fillId="26" borderId="0" xfId="86" applyNumberFormat="1" applyFont="1" applyFill="1" applyAlignment="1">
      <alignment horizontal="left"/>
    </xf>
    <xf numFmtId="0" fontId="39" fillId="0" borderId="17" xfId="0" applyFont="1" applyBorder="1"/>
    <xf numFmtId="0" fontId="39" fillId="0" borderId="18" xfId="0" applyFont="1" applyBorder="1"/>
    <xf numFmtId="0" fontId="7" fillId="0" borderId="18" xfId="0" applyFont="1" applyBorder="1"/>
    <xf numFmtId="169" fontId="39" fillId="0" borderId="19" xfId="86" applyNumberFormat="1" applyFont="1" applyBorder="1"/>
    <xf numFmtId="0" fontId="14" fillId="0" borderId="0" xfId="86" applyNumberFormat="1" applyFont="1" applyFill="1" applyAlignment="1">
      <alignment horizontal="left"/>
    </xf>
    <xf numFmtId="0" fontId="14" fillId="0" borderId="0" xfId="86" applyNumberFormat="1" applyFont="1" applyFill="1" applyBorder="1" applyAlignment="1">
      <alignment horizontal="left"/>
    </xf>
    <xf numFmtId="0" fontId="39" fillId="0" borderId="13" xfId="0" applyFont="1" applyBorder="1"/>
    <xf numFmtId="0" fontId="9" fillId="0" borderId="0" xfId="86" applyNumberFormat="1" applyFont="1" applyFill="1" applyBorder="1" applyAlignment="1">
      <alignment horizontal="left"/>
    </xf>
    <xf numFmtId="169" fontId="39" fillId="0" borderId="20" xfId="86" applyNumberFormat="1" applyFont="1" applyBorder="1"/>
    <xf numFmtId="0" fontId="39" fillId="0" borderId="0" xfId="0" applyFont="1"/>
    <xf numFmtId="169" fontId="39" fillId="0" borderId="15" xfId="86" applyNumberFormat="1" applyFont="1" applyBorder="1"/>
    <xf numFmtId="169" fontId="7" fillId="0" borderId="6" xfId="86" applyNumberFormat="1" applyFont="1" applyBorder="1"/>
    <xf numFmtId="169" fontId="7" fillId="0" borderId="16" xfId="86" applyNumberFormat="1" applyFont="1" applyBorder="1"/>
    <xf numFmtId="0" fontId="53" fillId="0" borderId="0" xfId="0" applyFont="1"/>
    <xf numFmtId="0" fontId="39" fillId="0" borderId="21" xfId="0" applyFont="1" applyBorder="1" applyAlignment="1">
      <alignment horizontal="center"/>
    </xf>
    <xf numFmtId="0" fontId="39" fillId="0" borderId="22" xfId="0" applyFont="1" applyBorder="1" applyAlignment="1">
      <alignment horizontal="center"/>
    </xf>
    <xf numFmtId="0" fontId="39" fillId="0" borderId="23" xfId="0" applyFont="1" applyBorder="1" applyAlignment="1">
      <alignment horizontal="center"/>
    </xf>
    <xf numFmtId="0" fontId="39" fillId="0" borderId="0" xfId="0" applyFont="1" applyAlignment="1">
      <alignment horizontal="center"/>
    </xf>
    <xf numFmtId="0" fontId="7" fillId="0" borderId="13" xfId="0" applyFont="1" applyBorder="1"/>
    <xf numFmtId="169" fontId="54" fillId="26" borderId="14" xfId="86" applyNumberFormat="1" applyFont="1" applyFill="1" applyBorder="1" applyAlignment="1">
      <alignment horizontal="right"/>
    </xf>
    <xf numFmtId="0" fontId="39" fillId="0" borderId="19" xfId="0" applyFont="1" applyBorder="1" applyAlignment="1">
      <alignment horizontal="center"/>
    </xf>
    <xf numFmtId="0" fontId="54" fillId="26" borderId="14" xfId="0" applyFont="1" applyFill="1" applyBorder="1" applyAlignment="1">
      <alignment horizontal="right"/>
    </xf>
    <xf numFmtId="169" fontId="7" fillId="0" borderId="14" xfId="0" applyNumberFormat="1" applyFont="1" applyBorder="1" applyAlignment="1">
      <alignment horizontal="right"/>
    </xf>
    <xf numFmtId="169" fontId="7" fillId="0" borderId="0" xfId="0" applyNumberFormat="1" applyFont="1" applyAlignment="1">
      <alignment horizontal="right"/>
    </xf>
    <xf numFmtId="10" fontId="7" fillId="0" borderId="14" xfId="0" applyNumberFormat="1" applyFont="1" applyBorder="1"/>
    <xf numFmtId="169" fontId="7" fillId="0" borderId="14" xfId="86" applyNumberFormat="1" applyFont="1" applyBorder="1"/>
    <xf numFmtId="0" fontId="39" fillId="0" borderId="24" xfId="0" applyFont="1" applyBorder="1" applyAlignment="1">
      <alignment horizontal="center"/>
    </xf>
    <xf numFmtId="169" fontId="39" fillId="0" borderId="24" xfId="86" applyNumberFormat="1" applyFont="1" applyBorder="1" applyAlignment="1">
      <alignment horizontal="center"/>
    </xf>
    <xf numFmtId="0" fontId="39" fillId="0" borderId="25" xfId="0" applyFont="1" applyBorder="1" applyAlignment="1">
      <alignment horizontal="center"/>
    </xf>
    <xf numFmtId="169" fontId="39" fillId="0" borderId="24" xfId="86" applyNumberFormat="1" applyFont="1" applyBorder="1" applyAlignment="1">
      <alignment horizontal="center" wrapText="1"/>
    </xf>
    <xf numFmtId="0" fontId="39" fillId="0" borderId="26" xfId="0" applyFont="1" applyBorder="1" applyAlignment="1">
      <alignment horizontal="center"/>
    </xf>
    <xf numFmtId="169" fontId="39" fillId="0" borderId="16" xfId="86" applyNumberFormat="1" applyFont="1" applyBorder="1" applyAlignment="1">
      <alignment horizontal="center"/>
    </xf>
    <xf numFmtId="169" fontId="39" fillId="0" borderId="26" xfId="86" applyNumberFormat="1" applyFont="1" applyBorder="1" applyAlignment="1">
      <alignment horizontal="center"/>
    </xf>
    <xf numFmtId="0" fontId="7" fillId="0" borderId="25" xfId="0" applyFont="1" applyBorder="1" applyAlignment="1">
      <alignment horizontal="center"/>
    </xf>
    <xf numFmtId="169" fontId="7" fillId="0" borderId="24" xfId="86" applyNumberFormat="1" applyFont="1" applyBorder="1"/>
    <xf numFmtId="170" fontId="7" fillId="0" borderId="14" xfId="0" applyNumberFormat="1" applyFont="1" applyBorder="1"/>
    <xf numFmtId="170" fontId="7" fillId="0" borderId="24" xfId="0" applyNumberFormat="1" applyFont="1" applyBorder="1"/>
    <xf numFmtId="170" fontId="7" fillId="0" borderId="25" xfId="0" applyNumberFormat="1" applyFont="1" applyBorder="1"/>
    <xf numFmtId="169" fontId="7" fillId="0" borderId="25" xfId="0" applyNumberFormat="1" applyFont="1" applyBorder="1"/>
    <xf numFmtId="169" fontId="1" fillId="0" borderId="25" xfId="86" applyNumberFormat="1" applyBorder="1"/>
    <xf numFmtId="169" fontId="7" fillId="0" borderId="25" xfId="86" applyNumberFormat="1" applyFont="1" applyBorder="1"/>
    <xf numFmtId="169" fontId="7" fillId="0" borderId="25" xfId="86" applyNumberFormat="1" applyFont="1" applyFill="1" applyBorder="1"/>
    <xf numFmtId="0" fontId="7" fillId="0" borderId="26" xfId="0" applyFont="1" applyBorder="1" applyAlignment="1">
      <alignment horizontal="center"/>
    </xf>
    <xf numFmtId="169" fontId="7" fillId="0" borderId="26" xfId="0" applyNumberFormat="1" applyFont="1" applyBorder="1"/>
    <xf numFmtId="169" fontId="1" fillId="0" borderId="26" xfId="86" applyNumberFormat="1" applyBorder="1"/>
    <xf numFmtId="169" fontId="7" fillId="0" borderId="26" xfId="86" applyNumberFormat="1" applyFont="1" applyFill="1" applyBorder="1"/>
    <xf numFmtId="170" fontId="7" fillId="0" borderId="16" xfId="0" applyNumberFormat="1" applyFont="1" applyBorder="1"/>
    <xf numFmtId="170" fontId="7" fillId="0" borderId="26" xfId="0" applyNumberFormat="1" applyFont="1" applyBorder="1"/>
    <xf numFmtId="170" fontId="7" fillId="0" borderId="0" xfId="0" applyNumberFormat="1" applyFont="1"/>
    <xf numFmtId="169" fontId="55" fillId="0" borderId="0" xfId="0" applyNumberFormat="1" applyFont="1" applyAlignment="1">
      <alignment horizontal="left"/>
    </xf>
    <xf numFmtId="0" fontId="9" fillId="0" borderId="0" xfId="0" applyFont="1"/>
    <xf numFmtId="169" fontId="39" fillId="0" borderId="0" xfId="86" applyNumberFormat="1" applyFont="1" applyBorder="1"/>
    <xf numFmtId="169" fontId="7" fillId="0" borderId="14" xfId="0" applyNumberFormat="1" applyFont="1" applyBorder="1"/>
    <xf numFmtId="169" fontId="39" fillId="0" borderId="11" xfId="86" applyNumberFormat="1" applyFont="1" applyBorder="1"/>
    <xf numFmtId="169" fontId="7" fillId="0" borderId="20" xfId="0" applyNumberFormat="1" applyFont="1" applyBorder="1"/>
    <xf numFmtId="0" fontId="7" fillId="0" borderId="15" xfId="0" applyFont="1" applyBorder="1"/>
    <xf numFmtId="169" fontId="39" fillId="0" borderId="6" xfId="86" applyNumberFormat="1" applyFont="1" applyFill="1" applyBorder="1" applyAlignment="1">
      <alignment horizontal="left"/>
    </xf>
    <xf numFmtId="169" fontId="39" fillId="0" borderId="16" xfId="86" applyNumberFormat="1" applyFont="1" applyFill="1" applyBorder="1" applyAlignment="1">
      <alignment horizontal="left"/>
    </xf>
    <xf numFmtId="0" fontId="7" fillId="0" borderId="21" xfId="0" applyFont="1" applyBorder="1" applyAlignment="1">
      <alignment horizontal="center"/>
    </xf>
    <xf numFmtId="0" fontId="0" fillId="0" borderId="22" xfId="0" applyBorder="1"/>
    <xf numFmtId="0" fontId="7" fillId="0" borderId="6" xfId="0" applyFont="1" applyBorder="1" applyAlignment="1">
      <alignment horizontal="center"/>
    </xf>
    <xf numFmtId="0" fontId="0" fillId="0" borderId="6" xfId="0" applyBorder="1"/>
    <xf numFmtId="0" fontId="39" fillId="0" borderId="24" xfId="0" applyFont="1" applyBorder="1" applyAlignment="1">
      <alignment horizontal="center" wrapText="1"/>
    </xf>
    <xf numFmtId="0" fontId="39" fillId="0" borderId="25" xfId="0" applyFont="1" applyBorder="1" applyAlignment="1">
      <alignment horizontal="center" wrapText="1"/>
    </xf>
    <xf numFmtId="0" fontId="39" fillId="0" borderId="6" xfId="0" applyFont="1" applyBorder="1" applyAlignment="1">
      <alignment horizontal="center"/>
    </xf>
    <xf numFmtId="169" fontId="7" fillId="0" borderId="24" xfId="0" applyNumberFormat="1" applyFont="1" applyBorder="1"/>
    <xf numFmtId="169" fontId="7" fillId="0" borderId="6" xfId="0" applyNumberFormat="1" applyFont="1" applyBorder="1"/>
    <xf numFmtId="0" fontId="55" fillId="0" borderId="0" xfId="0" applyFont="1"/>
    <xf numFmtId="0" fontId="58" fillId="0" borderId="0" xfId="0" applyFont="1"/>
    <xf numFmtId="0" fontId="7" fillId="0" borderId="14" xfId="0" applyFont="1" applyBorder="1" applyAlignment="1">
      <alignment horizontal="right"/>
    </xf>
    <xf numFmtId="0" fontId="7" fillId="0" borderId="16" xfId="0" applyFont="1" applyBorder="1" applyAlignment="1">
      <alignment horizontal="right"/>
    </xf>
    <xf numFmtId="0" fontId="52" fillId="26" borderId="0" xfId="0" applyFont="1" applyFill="1" applyAlignment="1">
      <alignment horizontal="left"/>
    </xf>
    <xf numFmtId="0" fontId="39" fillId="0" borderId="22" xfId="0" applyFont="1" applyBorder="1"/>
    <xf numFmtId="0" fontId="61" fillId="27" borderId="22" xfId="0" applyFont="1" applyFill="1" applyBorder="1" applyAlignment="1">
      <alignment horizontal="center"/>
    </xf>
    <xf numFmtId="0" fontId="39" fillId="0" borderId="0" xfId="0" quotePrefix="1" applyFont="1" applyAlignment="1">
      <alignment horizontal="left"/>
    </xf>
    <xf numFmtId="0" fontId="68" fillId="0" borderId="0" xfId="0" applyFont="1"/>
    <xf numFmtId="0" fontId="7" fillId="0" borderId="0" xfId="0" applyFont="1" applyAlignment="1">
      <alignment horizontal="left"/>
    </xf>
    <xf numFmtId="0" fontId="50" fillId="0" borderId="0" xfId="0" quotePrefix="1" applyFont="1" applyAlignment="1">
      <alignment horizontal="left"/>
    </xf>
    <xf numFmtId="0" fontId="46" fillId="0" borderId="0" xfId="0" quotePrefix="1" applyFont="1" applyAlignment="1">
      <alignment horizontal="center"/>
    </xf>
    <xf numFmtId="170" fontId="46" fillId="0" borderId="0" xfId="0" quotePrefix="1" applyNumberFormat="1" applyFont="1" applyAlignment="1">
      <alignment horizontal="center"/>
    </xf>
    <xf numFmtId="0" fontId="52" fillId="0" borderId="0" xfId="0" applyFont="1" applyAlignment="1">
      <alignment horizontal="left"/>
    </xf>
    <xf numFmtId="0" fontId="55" fillId="0" borderId="0" xfId="0" quotePrefix="1" applyFont="1" applyAlignment="1">
      <alignment horizontal="left"/>
    </xf>
    <xf numFmtId="0" fontId="67" fillId="0" borderId="0" xfId="0" applyFont="1" applyAlignment="1">
      <alignment horizontal="right"/>
    </xf>
    <xf numFmtId="0" fontId="46" fillId="0" borderId="0" xfId="0" quotePrefix="1" applyFont="1" applyAlignment="1">
      <alignment horizontal="right"/>
    </xf>
    <xf numFmtId="0" fontId="39" fillId="0" borderId="28" xfId="0" applyFont="1" applyBorder="1" applyAlignment="1">
      <alignment horizontal="center"/>
    </xf>
    <xf numFmtId="168" fontId="7" fillId="0" borderId="29" xfId="191" applyFont="1" applyBorder="1" applyAlignment="1" applyProtection="1">
      <alignment horizontal="center"/>
      <protection locked="0"/>
    </xf>
    <xf numFmtId="168" fontId="7" fillId="0" borderId="29" xfId="191" quotePrefix="1" applyFont="1" applyBorder="1" applyAlignment="1" applyProtection="1">
      <alignment horizontal="center"/>
      <protection locked="0"/>
    </xf>
    <xf numFmtId="3" fontId="7" fillId="0" borderId="30" xfId="191" applyNumberFormat="1" applyFont="1" applyBorder="1" applyAlignment="1" applyProtection="1">
      <alignment horizontal="center"/>
      <protection locked="0"/>
    </xf>
    <xf numFmtId="0" fontId="55" fillId="0" borderId="24" xfId="0" applyFont="1" applyBorder="1"/>
    <xf numFmtId="169" fontId="7" fillId="0" borderId="13" xfId="86" quotePrefix="1" applyNumberFormat="1" applyFont="1" applyBorder="1" applyAlignment="1">
      <alignment horizontal="right"/>
    </xf>
    <xf numFmtId="0" fontId="57" fillId="0" borderId="31" xfId="86" applyNumberFormat="1" applyFont="1" applyFill="1" applyBorder="1" applyAlignment="1">
      <alignment horizontal="left"/>
    </xf>
    <xf numFmtId="169" fontId="7" fillId="0" borderId="32" xfId="86" quotePrefix="1" applyNumberFormat="1" applyFont="1" applyBorder="1" applyAlignment="1">
      <alignment horizontal="right"/>
    </xf>
    <xf numFmtId="169" fontId="55" fillId="0" borderId="26" xfId="86" applyNumberFormat="1" applyFont="1" applyBorder="1"/>
    <xf numFmtId="0" fontId="7" fillId="0" borderId="15" xfId="0" quotePrefix="1" applyFont="1" applyBorder="1" applyAlignment="1">
      <alignment horizontal="right"/>
    </xf>
    <xf numFmtId="169" fontId="54" fillId="0" borderId="25" xfId="86" applyNumberFormat="1" applyFont="1" applyFill="1" applyBorder="1"/>
    <xf numFmtId="170" fontId="54" fillId="26" borderId="24" xfId="0" applyNumberFormat="1" applyFont="1" applyFill="1" applyBorder="1"/>
    <xf numFmtId="170" fontId="54" fillId="26" borderId="25" xfId="0" applyNumberFormat="1" applyFont="1" applyFill="1" applyBorder="1"/>
    <xf numFmtId="170" fontId="54" fillId="26" borderId="26" xfId="0" applyNumberFormat="1" applyFont="1" applyFill="1" applyBorder="1"/>
    <xf numFmtId="170" fontId="54" fillId="0" borderId="24" xfId="0" applyNumberFormat="1" applyFont="1" applyBorder="1"/>
    <xf numFmtId="169" fontId="39" fillId="0" borderId="24" xfId="86" quotePrefix="1" applyNumberFormat="1" applyFont="1" applyBorder="1" applyAlignment="1">
      <alignment horizontal="center" wrapText="1"/>
    </xf>
    <xf numFmtId="169" fontId="39" fillId="0" borderId="24" xfId="86" applyNumberFormat="1" applyFont="1" applyFill="1" applyBorder="1" applyAlignment="1">
      <alignment horizontal="center" wrapText="1"/>
    </xf>
    <xf numFmtId="169" fontId="39" fillId="0" borderId="26" xfId="86" applyNumberFormat="1" applyFont="1" applyFill="1" applyBorder="1" applyAlignment="1">
      <alignment horizontal="center"/>
    </xf>
    <xf numFmtId="169" fontId="39" fillId="0" borderId="15" xfId="86" applyNumberFormat="1" applyFont="1" applyFill="1" applyBorder="1" applyAlignment="1">
      <alignment horizontal="center"/>
    </xf>
    <xf numFmtId="169" fontId="54" fillId="0" borderId="14" xfId="86" applyNumberFormat="1" applyFont="1" applyFill="1" applyBorder="1"/>
    <xf numFmtId="169" fontId="54" fillId="0" borderId="26" xfId="86" applyNumberFormat="1" applyFont="1" applyFill="1" applyBorder="1"/>
    <xf numFmtId="169" fontId="54" fillId="0" borderId="16" xfId="86" applyNumberFormat="1" applyFont="1" applyFill="1" applyBorder="1"/>
    <xf numFmtId="0" fontId="39" fillId="0" borderId="26" xfId="0" applyFont="1" applyBorder="1" applyAlignment="1">
      <alignment horizontal="center" wrapText="1"/>
    </xf>
    <xf numFmtId="169" fontId="39" fillId="0" borderId="0" xfId="86" quotePrefix="1" applyNumberFormat="1" applyFont="1" applyBorder="1" applyAlignment="1">
      <alignment horizontal="center" wrapText="1"/>
    </xf>
    <xf numFmtId="169" fontId="39" fillId="0" borderId="16" xfId="86" applyNumberFormat="1" applyFont="1" applyFill="1" applyBorder="1" applyAlignment="1">
      <alignment horizontal="center"/>
    </xf>
    <xf numFmtId="169" fontId="39" fillId="0" borderId="19" xfId="86" applyNumberFormat="1" applyFont="1" applyFill="1" applyBorder="1" applyAlignment="1">
      <alignment horizontal="center" wrapText="1"/>
    </xf>
    <xf numFmtId="169" fontId="39" fillId="0" borderId="19" xfId="86" applyNumberFormat="1" applyFont="1" applyBorder="1" applyAlignment="1">
      <alignment horizontal="center" wrapText="1"/>
    </xf>
    <xf numFmtId="0" fontId="14" fillId="0" borderId="0" xfId="0" applyFont="1" applyAlignment="1">
      <alignment horizontal="center"/>
    </xf>
    <xf numFmtId="3" fontId="14" fillId="0" borderId="0" xfId="0" quotePrefix="1" applyNumberFormat="1" applyFont="1" applyAlignment="1">
      <alignment horizontal="center"/>
    </xf>
    <xf numFmtId="168" fontId="14" fillId="0" borderId="0" xfId="191" applyFont="1" applyProtection="1"/>
    <xf numFmtId="49" fontId="70" fillId="0" borderId="0" xfId="191" applyNumberFormat="1" applyFont="1" applyAlignment="1" applyProtection="1">
      <alignment horizontal="center"/>
    </xf>
    <xf numFmtId="3" fontId="6" fillId="0" borderId="0" xfId="0" applyNumberFormat="1" applyFont="1" applyAlignment="1">
      <alignment horizontal="center"/>
    </xf>
    <xf numFmtId="0" fontId="0" fillId="0" borderId="0" xfId="0" applyAlignment="1">
      <alignment horizontal="center" vertical="center"/>
    </xf>
    <xf numFmtId="0" fontId="1" fillId="0" borderId="0" xfId="0" applyFont="1" applyAlignment="1">
      <alignment horizontal="center" vertical="center"/>
    </xf>
    <xf numFmtId="0" fontId="0" fillId="0" borderId="0" xfId="0" quotePrefix="1" applyAlignment="1">
      <alignment horizontal="center" vertical="center"/>
    </xf>
    <xf numFmtId="0" fontId="0" fillId="0" borderId="0" xfId="0" applyAlignment="1">
      <alignment vertical="center"/>
    </xf>
    <xf numFmtId="0" fontId="0" fillId="0" borderId="0" xfId="0" applyAlignment="1">
      <alignment horizontal="center"/>
    </xf>
    <xf numFmtId="0" fontId="39" fillId="0" borderId="11" xfId="0" applyFont="1" applyBorder="1" applyAlignment="1">
      <alignment horizontal="centerContinuous"/>
    </xf>
    <xf numFmtId="0" fontId="39" fillId="0" borderId="11" xfId="0" applyFont="1" applyBorder="1" applyAlignment="1">
      <alignment horizontal="left"/>
    </xf>
    <xf numFmtId="0" fontId="53" fillId="0" borderId="0" xfId="0" quotePrefix="1" applyFont="1" applyAlignment="1">
      <alignment horizontal="left"/>
    </xf>
    <xf numFmtId="0" fontId="65" fillId="0" borderId="11" xfId="0" quotePrefix="1" applyFont="1" applyBorder="1" applyAlignment="1">
      <alignment horizontal="centerContinuous"/>
    </xf>
    <xf numFmtId="0" fontId="65" fillId="0" borderId="0" xfId="0" quotePrefix="1" applyFont="1" applyAlignment="1">
      <alignment horizontal="centerContinuous"/>
    </xf>
    <xf numFmtId="0" fontId="65" fillId="0" borderId="11" xfId="0" applyFont="1" applyBorder="1" applyAlignment="1">
      <alignment horizontal="centerContinuous"/>
    </xf>
    <xf numFmtId="0" fontId="71" fillId="0" borderId="0" xfId="0" applyFont="1"/>
    <xf numFmtId="0" fontId="65" fillId="0" borderId="0" xfId="0" applyFont="1" applyAlignment="1">
      <alignment horizontal="center" wrapText="1"/>
    </xf>
    <xf numFmtId="0" fontId="65" fillId="0" borderId="0" xfId="0" applyFont="1" applyAlignment="1">
      <alignment horizontal="center"/>
    </xf>
    <xf numFmtId="0" fontId="65" fillId="0" borderId="0" xfId="0" quotePrefix="1" applyFont="1" applyAlignment="1">
      <alignment horizontal="center" wrapText="1"/>
    </xf>
    <xf numFmtId="0" fontId="0" fillId="0" borderId="41" xfId="0" applyBorder="1" applyAlignment="1">
      <alignment horizontal="center" wrapText="1"/>
    </xf>
    <xf numFmtId="0" fontId="0" fillId="0" borderId="25" xfId="0" applyBorder="1"/>
    <xf numFmtId="0" fontId="7" fillId="0" borderId="0" xfId="0" applyFont="1" applyAlignment="1">
      <alignment vertical="center" wrapText="1"/>
    </xf>
    <xf numFmtId="0" fontId="7" fillId="0" borderId="0" xfId="0" applyFont="1" applyAlignment="1">
      <alignment horizontal="center" vertical="center"/>
    </xf>
    <xf numFmtId="169" fontId="1" fillId="0" borderId="0" xfId="86" applyNumberFormat="1" applyFont="1" applyFill="1" applyAlignment="1" applyProtection="1">
      <alignment vertical="center"/>
    </xf>
    <xf numFmtId="169" fontId="1" fillId="0" borderId="0" xfId="86" applyNumberFormat="1" applyFill="1" applyAlignment="1" applyProtection="1">
      <alignment vertical="center"/>
    </xf>
    <xf numFmtId="169" fontId="101" fillId="0" borderId="0" xfId="86" applyNumberFormat="1" applyFont="1" applyFill="1" applyAlignment="1" applyProtection="1">
      <alignment vertical="center"/>
    </xf>
    <xf numFmtId="169" fontId="64" fillId="26" borderId="0" xfId="86" applyNumberFormat="1" applyFont="1" applyFill="1" applyAlignment="1" applyProtection="1">
      <alignment vertical="center"/>
    </xf>
    <xf numFmtId="169" fontId="1" fillId="0" borderId="0" xfId="86" applyNumberFormat="1" applyAlignment="1" applyProtection="1">
      <alignment vertical="center"/>
    </xf>
    <xf numFmtId="169" fontId="39" fillId="0" borderId="0" xfId="86" applyNumberFormat="1" applyFont="1" applyAlignment="1" applyProtection="1">
      <alignment horizontal="center" vertical="center"/>
    </xf>
    <xf numFmtId="169" fontId="0" fillId="0" borderId="25" xfId="0" applyNumberFormat="1" applyBorder="1"/>
    <xf numFmtId="169" fontId="39" fillId="0" borderId="0" xfId="86" applyNumberFormat="1" applyFont="1" applyAlignment="1" applyProtection="1">
      <alignment vertical="center"/>
    </xf>
    <xf numFmtId="169" fontId="1" fillId="0" borderId="0" xfId="86" applyNumberFormat="1" applyFont="1" applyFill="1" applyBorder="1" applyAlignment="1" applyProtection="1">
      <alignment vertical="center"/>
    </xf>
    <xf numFmtId="169" fontId="1" fillId="0" borderId="0" xfId="86" applyNumberFormat="1" applyFill="1" applyBorder="1" applyAlignment="1" applyProtection="1">
      <alignment vertical="center"/>
    </xf>
    <xf numFmtId="169" fontId="64" fillId="26" borderId="0" xfId="86" applyNumberFormat="1" applyFont="1" applyFill="1" applyBorder="1" applyAlignment="1" applyProtection="1">
      <alignment vertical="center"/>
    </xf>
    <xf numFmtId="169" fontId="1" fillId="0" borderId="0" xfId="86" applyNumberFormat="1" applyBorder="1" applyAlignment="1" applyProtection="1">
      <alignment vertical="center"/>
    </xf>
    <xf numFmtId="169" fontId="39" fillId="0" borderId="0" xfId="86" applyNumberFormat="1" applyFont="1" applyBorder="1" applyAlignment="1" applyProtection="1">
      <alignment vertical="center"/>
    </xf>
    <xf numFmtId="0" fontId="7" fillId="0" borderId="0" xfId="0" quotePrefix="1" applyFont="1" applyAlignment="1">
      <alignment horizontal="center" vertical="center"/>
    </xf>
    <xf numFmtId="169" fontId="1" fillId="0" borderId="0" xfId="86" applyNumberFormat="1" applyFont="1" applyBorder="1" applyAlignment="1" applyProtection="1">
      <alignment vertical="center"/>
    </xf>
    <xf numFmtId="0" fontId="39" fillId="0" borderId="2" xfId="0" applyFont="1" applyBorder="1" applyAlignment="1">
      <alignment horizontal="center" vertical="center"/>
    </xf>
    <xf numFmtId="0" fontId="0" fillId="0" borderId="2" xfId="0" applyBorder="1" applyAlignment="1">
      <alignment horizontal="center" vertical="center"/>
    </xf>
    <xf numFmtId="169" fontId="1" fillId="0" borderId="2" xfId="86" applyNumberFormat="1" applyBorder="1" applyAlignment="1" applyProtection="1">
      <alignment vertical="center"/>
    </xf>
    <xf numFmtId="169" fontId="64" fillId="26" borderId="2" xfId="86" applyNumberFormat="1" applyFont="1" applyFill="1" applyBorder="1" applyAlignment="1" applyProtection="1">
      <alignment vertical="center"/>
    </xf>
    <xf numFmtId="169" fontId="39" fillId="0" borderId="25" xfId="0" applyNumberFormat="1" applyFont="1" applyBorder="1"/>
    <xf numFmtId="0" fontId="64" fillId="0" borderId="0" xfId="0" quotePrefix="1" applyFont="1" applyAlignment="1">
      <alignment horizontal="left"/>
    </xf>
    <xf numFmtId="0" fontId="7" fillId="0" borderId="0" xfId="0" applyFont="1" applyAlignment="1">
      <alignment vertical="center"/>
    </xf>
    <xf numFmtId="169" fontId="72" fillId="0" borderId="0" xfId="86" applyNumberFormat="1" applyFont="1" applyAlignment="1" applyProtection="1">
      <alignment horizontal="center" vertical="center"/>
    </xf>
    <xf numFmtId="43" fontId="53" fillId="0" borderId="0" xfId="86" applyFont="1" applyAlignment="1" applyProtection="1">
      <alignment horizontal="center" vertical="center"/>
    </xf>
    <xf numFmtId="43" fontId="74" fillId="0" borderId="0" xfId="86" applyFont="1" applyAlignment="1" applyProtection="1">
      <alignment horizontal="left" vertical="center"/>
    </xf>
    <xf numFmtId="169" fontId="74" fillId="0" borderId="0" xfId="86" applyNumberFormat="1" applyFont="1" applyAlignment="1" applyProtection="1">
      <alignment horizontal="center" vertical="center"/>
    </xf>
    <xf numFmtId="43" fontId="1" fillId="0" borderId="0" xfId="86" applyAlignment="1" applyProtection="1">
      <alignment vertical="center"/>
    </xf>
    <xf numFmtId="169" fontId="0" fillId="0" borderId="26" xfId="0" applyNumberFormat="1" applyBorder="1"/>
    <xf numFmtId="0" fontId="7" fillId="0" borderId="0" xfId="0" quotePrefix="1" applyFont="1" applyAlignment="1">
      <alignment horizontal="left" vertical="center"/>
    </xf>
    <xf numFmtId="174" fontId="5" fillId="0" borderId="0" xfId="0" applyNumberFormat="1" applyFont="1" applyAlignment="1">
      <alignment horizontal="center" vertical="center"/>
    </xf>
    <xf numFmtId="0" fontId="0" fillId="0" borderId="0" xfId="0" quotePrefix="1" applyAlignment="1">
      <alignment horizontal="left" vertical="center"/>
    </xf>
    <xf numFmtId="169" fontId="64" fillId="26" borderId="0" xfId="0" applyNumberFormat="1" applyFont="1" applyFill="1" applyAlignment="1">
      <alignment vertical="center"/>
    </xf>
    <xf numFmtId="169" fontId="1" fillId="0" borderId="0" xfId="86" applyNumberFormat="1" applyProtection="1"/>
    <xf numFmtId="164" fontId="1" fillId="0" borderId="0" xfId="0" applyNumberFormat="1" applyFont="1"/>
    <xf numFmtId="43" fontId="1" fillId="0" borderId="0" xfId="86" applyProtection="1"/>
    <xf numFmtId="0" fontId="0" fillId="0" borderId="33" xfId="0" applyBorder="1"/>
    <xf numFmtId="0" fontId="0" fillId="0" borderId="2" xfId="0" applyBorder="1"/>
    <xf numFmtId="169" fontId="1" fillId="0" borderId="2" xfId="86" applyNumberFormat="1" applyBorder="1" applyProtection="1"/>
    <xf numFmtId="0" fontId="0" fillId="0" borderId="27" xfId="0" applyBorder="1"/>
    <xf numFmtId="0" fontId="0" fillId="0" borderId="34" xfId="0" applyBorder="1"/>
    <xf numFmtId="0" fontId="0" fillId="0" borderId="35" xfId="0" applyBorder="1" applyAlignment="1">
      <alignment horizontal="center"/>
    </xf>
    <xf numFmtId="0" fontId="0" fillId="0" borderId="36" xfId="0" applyBorder="1"/>
    <xf numFmtId="0" fontId="0" fillId="0" borderId="11" xfId="0" applyBorder="1"/>
    <xf numFmtId="169" fontId="1" fillId="0" borderId="11" xfId="86" applyNumberFormat="1" applyBorder="1" applyProtection="1"/>
    <xf numFmtId="0" fontId="0" fillId="0" borderId="37" xfId="0" applyBorder="1"/>
    <xf numFmtId="0" fontId="0" fillId="0" borderId="0" xfId="0" quotePrefix="1" applyAlignment="1">
      <alignment horizontal="center"/>
    </xf>
    <xf numFmtId="43" fontId="0" fillId="0" borderId="0" xfId="86" applyFont="1" applyProtection="1"/>
    <xf numFmtId="43" fontId="0" fillId="0" borderId="0" xfId="0" applyNumberFormat="1"/>
    <xf numFmtId="43" fontId="0" fillId="0" borderId="0" xfId="196" applyNumberFormat="1" applyFont="1" applyProtection="1"/>
    <xf numFmtId="170" fontId="0" fillId="0" borderId="0" xfId="106" applyNumberFormat="1" applyFont="1" applyProtection="1"/>
    <xf numFmtId="0" fontId="7" fillId="0" borderId="0" xfId="191" applyNumberFormat="1" applyFont="1" applyProtection="1"/>
    <xf numFmtId="3" fontId="7" fillId="0" borderId="0" xfId="191" applyNumberFormat="1" applyFont="1" applyProtection="1"/>
    <xf numFmtId="10" fontId="7" fillId="0" borderId="0" xfId="191" applyNumberFormat="1" applyFont="1" applyProtection="1"/>
    <xf numFmtId="166" fontId="7" fillId="0" borderId="0" xfId="191" applyNumberFormat="1" applyFont="1" applyProtection="1"/>
    <xf numFmtId="43" fontId="7" fillId="0" borderId="0" xfId="86" applyFont="1" applyAlignment="1" applyProtection="1"/>
    <xf numFmtId="168" fontId="7" fillId="0" borderId="0" xfId="191" applyFont="1" applyProtection="1"/>
    <xf numFmtId="0" fontId="7" fillId="26" borderId="0" xfId="86" applyNumberFormat="1" applyFont="1" applyFill="1" applyAlignment="1" applyProtection="1"/>
    <xf numFmtId="10" fontId="7" fillId="0" borderId="0" xfId="191" applyNumberFormat="1" applyFont="1" applyAlignment="1" applyProtection="1">
      <alignment horizontal="right"/>
    </xf>
    <xf numFmtId="3" fontId="39" fillId="0" borderId="0" xfId="191" applyNumberFormat="1" applyFont="1" applyProtection="1"/>
    <xf numFmtId="3" fontId="48" fillId="0" borderId="0" xfId="191" applyNumberFormat="1" applyFont="1" applyAlignment="1" applyProtection="1">
      <alignment horizontal="center"/>
    </xf>
    <xf numFmtId="10" fontId="48" fillId="0" borderId="0" xfId="191" applyNumberFormat="1" applyFont="1" applyAlignment="1" applyProtection="1">
      <alignment horizontal="center"/>
    </xf>
    <xf numFmtId="0" fontId="7" fillId="0" borderId="0" xfId="191" applyNumberFormat="1" applyFont="1" applyAlignment="1" applyProtection="1">
      <alignment horizontal="right"/>
    </xf>
    <xf numFmtId="10" fontId="0" fillId="0" borderId="0" xfId="0" applyNumberFormat="1" applyAlignment="1">
      <alignment horizontal="center"/>
    </xf>
    <xf numFmtId="10" fontId="7" fillId="0" borderId="0" xfId="196" applyNumberFormat="1" applyFont="1" applyAlignment="1" applyProtection="1">
      <alignment horizontal="center"/>
    </xf>
    <xf numFmtId="10" fontId="7" fillId="0" borderId="0" xfId="196" applyNumberFormat="1" applyFont="1" applyFill="1" applyAlignment="1" applyProtection="1"/>
    <xf numFmtId="165" fontId="7" fillId="0" borderId="0" xfId="191" applyNumberFormat="1" applyFont="1" applyAlignment="1" applyProtection="1">
      <alignment horizontal="center"/>
    </xf>
    <xf numFmtId="168" fontId="7" fillId="0" borderId="13" xfId="191" applyFont="1" applyBorder="1" applyProtection="1"/>
    <xf numFmtId="0" fontId="7" fillId="0" borderId="0" xfId="191" applyNumberFormat="1" applyFont="1" applyAlignment="1" applyProtection="1">
      <alignment horizontal="center"/>
    </xf>
    <xf numFmtId="3" fontId="7" fillId="0" borderId="14" xfId="191" applyNumberFormat="1" applyFont="1" applyBorder="1" applyProtection="1"/>
    <xf numFmtId="41" fontId="7" fillId="0" borderId="0" xfId="191" applyNumberFormat="1" applyFont="1" applyProtection="1"/>
    <xf numFmtId="41" fontId="7" fillId="0" borderId="0" xfId="191" applyNumberFormat="1" applyFont="1" applyAlignment="1" applyProtection="1">
      <alignment horizontal="center"/>
    </xf>
    <xf numFmtId="0" fontId="0" fillId="0" borderId="13" xfId="0" applyBorder="1"/>
    <xf numFmtId="0" fontId="0" fillId="0" borderId="14" xfId="0" applyBorder="1"/>
    <xf numFmtId="10" fontId="48" fillId="0" borderId="0" xfId="196" applyNumberFormat="1" applyFont="1" applyFill="1" applyAlignment="1" applyProtection="1"/>
    <xf numFmtId="165" fontId="15" fillId="0" borderId="15" xfId="191" applyNumberFormat="1" applyFont="1" applyBorder="1" applyAlignment="1" applyProtection="1">
      <alignment horizontal="center"/>
    </xf>
    <xf numFmtId="0" fontId="7" fillId="27" borderId="6" xfId="191" applyNumberFormat="1" applyFont="1" applyFill="1" applyBorder="1" applyAlignment="1" applyProtection="1">
      <alignment horizontal="center"/>
    </xf>
    <xf numFmtId="169" fontId="7" fillId="0" borderId="6" xfId="191" applyNumberFormat="1" applyFont="1" applyBorder="1" applyAlignment="1" applyProtection="1">
      <alignment horizontal="center"/>
    </xf>
    <xf numFmtId="170" fontId="0" fillId="0" borderId="16" xfId="0" applyNumberFormat="1" applyBorder="1"/>
    <xf numFmtId="10" fontId="7" fillId="0" borderId="0" xfId="196" applyNumberFormat="1" applyFont="1" applyAlignment="1" applyProtection="1">
      <alignment horizontal="right"/>
    </xf>
    <xf numFmtId="0" fontId="63" fillId="0" borderId="0" xfId="0" applyFont="1" applyAlignment="1">
      <alignment horizontal="center"/>
    </xf>
    <xf numFmtId="10" fontId="7" fillId="0" borderId="0" xfId="191" applyNumberFormat="1" applyFont="1" applyAlignment="1" applyProtection="1">
      <alignment horizontal="left"/>
    </xf>
    <xf numFmtId="169" fontId="0" fillId="0" borderId="0" xfId="0" applyNumberFormat="1"/>
    <xf numFmtId="41" fontId="7" fillId="0" borderId="0" xfId="191" quotePrefix="1" applyNumberFormat="1" applyFont="1" applyProtection="1"/>
    <xf numFmtId="41" fontId="7" fillId="0" borderId="0" xfId="191" applyNumberFormat="1" applyFont="1" applyAlignment="1" applyProtection="1">
      <alignment horizontal="right"/>
    </xf>
    <xf numFmtId="171" fontId="7" fillId="0" borderId="11" xfId="191" applyNumberFormat="1" applyFont="1" applyBorder="1" applyProtection="1"/>
    <xf numFmtId="43" fontId="7" fillId="0" borderId="0" xfId="191" applyNumberFormat="1" applyFont="1" applyProtection="1"/>
    <xf numFmtId="164" fontId="7" fillId="0" borderId="0" xfId="191" applyNumberFormat="1" applyFont="1" applyAlignment="1" applyProtection="1">
      <alignment horizontal="left"/>
    </xf>
    <xf numFmtId="3" fontId="7" fillId="0" borderId="0" xfId="191" applyNumberFormat="1" applyFont="1" applyAlignment="1" applyProtection="1">
      <alignment vertical="center" wrapText="1"/>
    </xf>
    <xf numFmtId="41" fontId="7" fillId="0" borderId="0" xfId="191" applyNumberFormat="1" applyFont="1" applyAlignment="1" applyProtection="1">
      <alignment vertical="center"/>
    </xf>
    <xf numFmtId="41" fontId="7" fillId="0" borderId="0" xfId="191" applyNumberFormat="1" applyFont="1" applyAlignment="1" applyProtection="1">
      <alignment horizontal="center" vertical="center"/>
    </xf>
    <xf numFmtId="3" fontId="7" fillId="0" borderId="0" xfId="191" applyNumberFormat="1" applyFont="1" applyAlignment="1" applyProtection="1">
      <alignment horizontal="right"/>
    </xf>
    <xf numFmtId="169" fontId="7" fillId="0" borderId="0" xfId="86" applyNumberFormat="1" applyFont="1" applyBorder="1" applyProtection="1"/>
    <xf numFmtId="164" fontId="7" fillId="0" borderId="2" xfId="191" applyNumberFormat="1" applyFont="1" applyBorder="1" applyAlignment="1" applyProtection="1">
      <alignment horizontal="left"/>
    </xf>
    <xf numFmtId="0" fontId="7" fillId="0" borderId="2" xfId="0" applyFont="1" applyBorder="1" applyAlignment="1">
      <alignment horizontal="center"/>
    </xf>
    <xf numFmtId="41" fontId="7" fillId="0" borderId="2" xfId="0" applyNumberFormat="1" applyFont="1" applyBorder="1"/>
    <xf numFmtId="41" fontId="7" fillId="0" borderId="0" xfId="0" applyNumberFormat="1" applyFont="1"/>
    <xf numFmtId="3" fontId="14" fillId="0" borderId="0" xfId="191" applyNumberFormat="1" applyFont="1" applyProtection="1"/>
    <xf numFmtId="3" fontId="14" fillId="0" borderId="0" xfId="191" applyNumberFormat="1" applyFont="1" applyAlignment="1" applyProtection="1">
      <alignment horizontal="center"/>
    </xf>
    <xf numFmtId="41" fontId="14" fillId="0" borderId="0" xfId="191" applyNumberFormat="1" applyFont="1" applyProtection="1"/>
    <xf numFmtId="0" fontId="14" fillId="0" borderId="0" xfId="191" applyNumberFormat="1" applyFont="1" applyProtection="1"/>
    <xf numFmtId="3" fontId="7" fillId="0" borderId="0" xfId="191" applyNumberFormat="1" applyFont="1" applyAlignment="1" applyProtection="1">
      <alignment horizontal="center"/>
    </xf>
    <xf numFmtId="41" fontId="7" fillId="0" borderId="11" xfId="191" applyNumberFormat="1" applyFont="1" applyBorder="1" applyProtection="1"/>
    <xf numFmtId="167" fontId="7" fillId="0" borderId="0" xfId="191" applyNumberFormat="1" applyFont="1" applyProtection="1"/>
    <xf numFmtId="3" fontId="7" fillId="0" borderId="0" xfId="191" quotePrefix="1" applyNumberFormat="1" applyFont="1" applyProtection="1"/>
    <xf numFmtId="3" fontId="39" fillId="0" borderId="0" xfId="191" applyNumberFormat="1" applyFont="1" applyAlignment="1" applyProtection="1">
      <alignment horizontal="right"/>
    </xf>
    <xf numFmtId="167" fontId="39" fillId="0" borderId="0" xfId="191" applyNumberFormat="1" applyFont="1" applyProtection="1"/>
    <xf numFmtId="3" fontId="39" fillId="0" borderId="0" xfId="191" quotePrefix="1" applyNumberFormat="1" applyFont="1" applyProtection="1"/>
    <xf numFmtId="169" fontId="7" fillId="0" borderId="0" xfId="86" applyNumberFormat="1" applyFont="1" applyFill="1" applyBorder="1" applyProtection="1"/>
    <xf numFmtId="41" fontId="48" fillId="0" borderId="0" xfId="191" applyNumberFormat="1" applyFont="1" applyProtection="1"/>
    <xf numFmtId="169" fontId="7" fillId="0" borderId="0" xfId="86" applyNumberFormat="1" applyFont="1" applyProtection="1"/>
    <xf numFmtId="41" fontId="7" fillId="0" borderId="11" xfId="0" applyNumberFormat="1" applyFont="1" applyBorder="1"/>
    <xf numFmtId="41" fontId="48" fillId="0" borderId="0" xfId="0" applyNumberFormat="1" applyFont="1"/>
    <xf numFmtId="169" fontId="7" fillId="0" borderId="0" xfId="86" applyNumberFormat="1" applyFont="1" applyFill="1" applyProtection="1"/>
    <xf numFmtId="10" fontId="7" fillId="0" borderId="11" xfId="0" applyNumberFormat="1" applyFont="1" applyBorder="1"/>
    <xf numFmtId="9" fontId="7" fillId="0" borderId="11" xfId="196" applyFont="1" applyFill="1" applyBorder="1" applyProtection="1"/>
    <xf numFmtId="169" fontId="7" fillId="0" borderId="11" xfId="86" applyNumberFormat="1" applyFont="1" applyFill="1" applyBorder="1" applyAlignment="1" applyProtection="1"/>
    <xf numFmtId="41" fontId="0" fillId="0" borderId="0" xfId="0" applyNumberFormat="1"/>
    <xf numFmtId="10" fontId="48" fillId="0" borderId="0" xfId="0" applyNumberFormat="1" applyFont="1"/>
    <xf numFmtId="169" fontId="7" fillId="0" borderId="11" xfId="86" applyNumberFormat="1" applyFont="1" applyFill="1" applyBorder="1" applyProtection="1"/>
    <xf numFmtId="169" fontId="7" fillId="0" borderId="0" xfId="87" applyNumberFormat="1" applyFont="1" applyFill="1" applyBorder="1" applyProtection="1"/>
    <xf numFmtId="173" fontId="7" fillId="0" borderId="0" xfId="0" applyNumberFormat="1" applyFont="1"/>
    <xf numFmtId="43" fontId="7" fillId="0" borderId="0" xfId="86" applyFont="1" applyProtection="1"/>
    <xf numFmtId="0" fontId="65" fillId="0" borderId="0" xfId="0" quotePrefix="1" applyFont="1" applyAlignment="1">
      <alignment horizontal="left"/>
    </xf>
    <xf numFmtId="0" fontId="0" fillId="0" borderId="0" xfId="0" quotePrefix="1" applyAlignment="1">
      <alignment horizontal="left"/>
    </xf>
    <xf numFmtId="0" fontId="66" fillId="0" borderId="0" xfId="0" quotePrefix="1" applyFont="1" applyAlignment="1">
      <alignment horizontal="left"/>
    </xf>
    <xf numFmtId="0" fontId="7" fillId="0" borderId="17" xfId="0" quotePrefix="1" applyFont="1" applyBorder="1" applyAlignment="1">
      <alignment horizontal="left"/>
    </xf>
    <xf numFmtId="0" fontId="0" fillId="0" borderId="48" xfId="0" quotePrefix="1" applyBorder="1" applyAlignment="1">
      <alignment horizontal="left"/>
    </xf>
    <xf numFmtId="0" fontId="54" fillId="0" borderId="39" xfId="0" quotePrefix="1" applyFont="1" applyBorder="1" applyAlignment="1">
      <alignment horizontal="right"/>
    </xf>
    <xf numFmtId="0" fontId="83" fillId="0" borderId="14" xfId="0" applyFont="1" applyBorder="1"/>
    <xf numFmtId="10" fontId="1" fillId="0" borderId="0" xfId="0" applyNumberFormat="1" applyFont="1"/>
    <xf numFmtId="169" fontId="54" fillId="0" borderId="39" xfId="86" applyNumberFormat="1" applyFont="1" applyFill="1" applyBorder="1" applyProtection="1"/>
    <xf numFmtId="179" fontId="54" fillId="0" borderId="39" xfId="196" applyNumberFormat="1" applyFont="1" applyFill="1" applyBorder="1" applyProtection="1"/>
    <xf numFmtId="0" fontId="83" fillId="0" borderId="49" xfId="0" applyFont="1" applyBorder="1"/>
    <xf numFmtId="0" fontId="83" fillId="0" borderId="47" xfId="0" applyFont="1" applyBorder="1"/>
    <xf numFmtId="41" fontId="54" fillId="0" borderId="39" xfId="0" applyNumberFormat="1" applyFont="1" applyBorder="1"/>
    <xf numFmtId="3" fontId="54" fillId="0" borderId="43" xfId="0" applyNumberFormat="1" applyFont="1" applyBorder="1"/>
    <xf numFmtId="10" fontId="54" fillId="0" borderId="13" xfId="0" applyNumberFormat="1" applyFont="1" applyBorder="1"/>
    <xf numFmtId="0" fontId="54" fillId="0" borderId="14" xfId="0" applyFont="1" applyBorder="1"/>
    <xf numFmtId="41" fontId="54" fillId="0" borderId="13" xfId="0" applyNumberFormat="1" applyFont="1" applyBorder="1"/>
    <xf numFmtId="0" fontId="54" fillId="0" borderId="20" xfId="0" applyFont="1" applyBorder="1"/>
    <xf numFmtId="169" fontId="54" fillId="0" borderId="39" xfId="0" applyNumberFormat="1" applyFont="1" applyBorder="1"/>
    <xf numFmtId="169" fontId="54" fillId="0" borderId="45" xfId="0" applyNumberFormat="1" applyFont="1" applyBorder="1"/>
    <xf numFmtId="0" fontId="54" fillId="0" borderId="50" xfId="0" applyFont="1" applyBorder="1"/>
    <xf numFmtId="169" fontId="54" fillId="0" borderId="46" xfId="0" applyNumberFormat="1" applyFont="1" applyBorder="1"/>
    <xf numFmtId="0" fontId="54" fillId="0" borderId="16" xfId="0" applyFont="1" applyBorder="1"/>
    <xf numFmtId="0" fontId="5" fillId="0" borderId="0" xfId="0" applyFont="1"/>
    <xf numFmtId="169" fontId="54" fillId="0" borderId="24" xfId="0" applyNumberFormat="1" applyFont="1" applyBorder="1"/>
    <xf numFmtId="169" fontId="54" fillId="0" borderId="25" xfId="0" applyNumberFormat="1" applyFont="1" applyBorder="1"/>
    <xf numFmtId="43" fontId="54" fillId="0" borderId="26" xfId="86" applyFont="1" applyBorder="1" applyProtection="1"/>
    <xf numFmtId="0" fontId="50" fillId="0" borderId="0" xfId="0" applyFont="1"/>
    <xf numFmtId="0" fontId="7" fillId="0" borderId="0" xfId="86" applyNumberFormat="1" applyFont="1" applyFill="1" applyAlignment="1" applyProtection="1"/>
    <xf numFmtId="168" fontId="15" fillId="0" borderId="17" xfId="191" applyFont="1" applyBorder="1" applyProtection="1"/>
    <xf numFmtId="168" fontId="7" fillId="0" borderId="18" xfId="191" applyFont="1" applyBorder="1" applyProtection="1"/>
    <xf numFmtId="3" fontId="7" fillId="0" borderId="19" xfId="191" applyNumberFormat="1" applyFont="1" applyBorder="1" applyProtection="1"/>
    <xf numFmtId="0" fontId="7" fillId="27" borderId="0" xfId="191" applyNumberFormat="1" applyFont="1" applyFill="1" applyAlignment="1" applyProtection="1">
      <alignment horizontal="center"/>
    </xf>
    <xf numFmtId="166" fontId="7" fillId="0" borderId="0" xfId="191" applyNumberFormat="1" applyFont="1" applyAlignment="1" applyProtection="1">
      <alignment horizontal="center"/>
    </xf>
    <xf numFmtId="0" fontId="7" fillId="0" borderId="0" xfId="0" quotePrefix="1" applyFont="1" applyAlignment="1">
      <alignment horizontal="right"/>
    </xf>
    <xf numFmtId="170" fontId="0" fillId="0" borderId="0" xfId="0" applyNumberFormat="1"/>
    <xf numFmtId="170" fontId="0" fillId="0" borderId="14" xfId="0" applyNumberFormat="1" applyBorder="1"/>
    <xf numFmtId="0" fontId="0" fillId="0" borderId="0" xfId="0" quotePrefix="1" applyAlignment="1">
      <alignment horizontal="right"/>
    </xf>
    <xf numFmtId="170" fontId="0" fillId="0" borderId="6" xfId="0" applyNumberFormat="1" applyBorder="1"/>
    <xf numFmtId="167" fontId="48" fillId="0" borderId="0" xfId="191" applyNumberFormat="1" applyFont="1" applyProtection="1"/>
    <xf numFmtId="0" fontId="0" fillId="0" borderId="0" xfId="0" applyAlignment="1">
      <alignment horizontal="right"/>
    </xf>
    <xf numFmtId="172" fontId="7" fillId="0" borderId="0" xfId="191" applyNumberFormat="1" applyFont="1" applyProtection="1"/>
    <xf numFmtId="165" fontId="7" fillId="0" borderId="15" xfId="191" applyNumberFormat="1" applyFont="1" applyBorder="1" applyAlignment="1" applyProtection="1">
      <alignment horizontal="center"/>
    </xf>
    <xf numFmtId="0" fontId="7" fillId="0" borderId="6" xfId="191" applyNumberFormat="1" applyFont="1" applyBorder="1" applyAlignment="1" applyProtection="1">
      <alignment horizontal="center"/>
    </xf>
    <xf numFmtId="169" fontId="7" fillId="0" borderId="6" xfId="191" quotePrefix="1" applyNumberFormat="1" applyFont="1" applyBorder="1" applyAlignment="1" applyProtection="1">
      <alignment horizontal="center"/>
    </xf>
    <xf numFmtId="177" fontId="7" fillId="0" borderId="6" xfId="191" quotePrefix="1" applyNumberFormat="1" applyFont="1" applyBorder="1" applyAlignment="1" applyProtection="1">
      <alignment horizontal="center"/>
    </xf>
    <xf numFmtId="169" fontId="1" fillId="0" borderId="6" xfId="191" applyNumberFormat="1" applyFont="1" applyBorder="1" applyAlignment="1" applyProtection="1">
      <alignment horizontal="center"/>
    </xf>
    <xf numFmtId="178" fontId="7" fillId="0" borderId="0" xfId="191" applyNumberFormat="1" applyFont="1" applyAlignment="1" applyProtection="1">
      <alignment horizontal="center"/>
    </xf>
    <xf numFmtId="169" fontId="7" fillId="0" borderId="0" xfId="191" applyNumberFormat="1" applyFont="1" applyAlignment="1" applyProtection="1">
      <alignment horizontal="center"/>
    </xf>
    <xf numFmtId="0" fontId="1" fillId="0" borderId="0" xfId="191" applyNumberFormat="1" applyFont="1" applyProtection="1"/>
    <xf numFmtId="41" fontId="1" fillId="0" borderId="0" xfId="191" applyNumberFormat="1" applyFont="1" applyProtection="1"/>
    <xf numFmtId="3" fontId="14" fillId="0" borderId="2" xfId="191" applyNumberFormat="1" applyFont="1" applyBorder="1" applyProtection="1"/>
    <xf numFmtId="41" fontId="7" fillId="0" borderId="2" xfId="191" applyNumberFormat="1" applyFont="1" applyBorder="1" applyProtection="1"/>
    <xf numFmtId="41" fontId="48" fillId="0" borderId="11" xfId="191" applyNumberFormat="1" applyFont="1" applyBorder="1" applyProtection="1"/>
    <xf numFmtId="9" fontId="7" fillId="0" borderId="0" xfId="196" applyFont="1" applyFill="1" applyBorder="1" applyProtection="1"/>
    <xf numFmtId="169" fontId="7" fillId="0" borderId="0" xfId="86" applyNumberFormat="1" applyFont="1" applyFill="1" applyBorder="1" applyAlignment="1" applyProtection="1"/>
    <xf numFmtId="41" fontId="56" fillId="0" borderId="0" xfId="0" applyNumberFormat="1" applyFont="1"/>
    <xf numFmtId="10" fontId="0" fillId="0" borderId="0" xfId="0" applyNumberFormat="1"/>
    <xf numFmtId="164" fontId="1" fillId="0" borderId="0" xfId="196" applyNumberFormat="1" applyProtection="1"/>
    <xf numFmtId="169" fontId="7" fillId="0" borderId="0" xfId="87" applyNumberFormat="1" applyFont="1" applyFill="1" applyProtection="1"/>
    <xf numFmtId="169" fontId="7" fillId="0" borderId="11" xfId="87" applyNumberFormat="1" applyFont="1" applyFill="1" applyBorder="1" applyProtection="1"/>
    <xf numFmtId="0" fontId="7" fillId="0" borderId="38" xfId="0" quotePrefix="1" applyFont="1" applyBorder="1" applyAlignment="1">
      <alignment horizontal="left"/>
    </xf>
    <xf numFmtId="0" fontId="7" fillId="0" borderId="19" xfId="0" applyFont="1" applyBorder="1"/>
    <xf numFmtId="0" fontId="7" fillId="0" borderId="14" xfId="0" applyFont="1" applyBorder="1"/>
    <xf numFmtId="10" fontId="54" fillId="0" borderId="39" xfId="0" applyNumberFormat="1" applyFont="1" applyBorder="1"/>
    <xf numFmtId="169" fontId="54" fillId="0" borderId="39" xfId="87" applyNumberFormat="1" applyFont="1" applyFill="1" applyBorder="1" applyProtection="1"/>
    <xf numFmtId="0" fontId="7" fillId="0" borderId="49" xfId="0" applyFont="1" applyBorder="1"/>
    <xf numFmtId="166" fontId="54" fillId="0" borderId="39" xfId="0" applyNumberFormat="1" applyFont="1" applyBorder="1"/>
    <xf numFmtId="0" fontId="7" fillId="0" borderId="47" xfId="0" applyFont="1" applyBorder="1"/>
    <xf numFmtId="3" fontId="7" fillId="0" borderId="43" xfId="0" applyNumberFormat="1" applyFont="1" applyBorder="1"/>
    <xf numFmtId="0" fontId="7" fillId="0" borderId="20" xfId="0" applyFont="1" applyBorder="1"/>
    <xf numFmtId="169" fontId="54" fillId="0" borderId="44" xfId="0" applyNumberFormat="1" applyFont="1" applyBorder="1"/>
    <xf numFmtId="0" fontId="7" fillId="0" borderId="16" xfId="0" applyFont="1" applyBorder="1"/>
    <xf numFmtId="169" fontId="54" fillId="0" borderId="25" xfId="86" applyNumberFormat="1" applyFont="1" applyBorder="1" applyProtection="1"/>
    <xf numFmtId="169" fontId="54" fillId="0" borderId="26" xfId="86" applyNumberFormat="1" applyFont="1" applyBorder="1" applyProtection="1"/>
    <xf numFmtId="0" fontId="68" fillId="0" borderId="0" xfId="0" quotePrefix="1" applyFont="1" applyAlignment="1">
      <alignment horizontal="left"/>
    </xf>
    <xf numFmtId="0" fontId="51" fillId="26" borderId="0" xfId="86" applyNumberFormat="1" applyFont="1" applyFill="1" applyAlignment="1" applyProtection="1">
      <alignment horizontal="left"/>
    </xf>
    <xf numFmtId="169" fontId="39" fillId="0" borderId="19" xfId="86" applyNumberFormat="1" applyFont="1" applyBorder="1" applyProtection="1"/>
    <xf numFmtId="0" fontId="14" fillId="0" borderId="0" xfId="86" applyNumberFormat="1" applyFont="1" applyFill="1" applyAlignment="1" applyProtection="1">
      <alignment horizontal="left"/>
    </xf>
    <xf numFmtId="0" fontId="14" fillId="0" borderId="0" xfId="86" applyNumberFormat="1" applyFont="1" applyFill="1" applyBorder="1" applyAlignment="1" applyProtection="1">
      <alignment horizontal="left"/>
    </xf>
    <xf numFmtId="0" fontId="9" fillId="0" borderId="0" xfId="86" applyNumberFormat="1" applyFont="1" applyFill="1" applyBorder="1" applyAlignment="1" applyProtection="1">
      <alignment horizontal="left"/>
    </xf>
    <xf numFmtId="169" fontId="39" fillId="0" borderId="20" xfId="86" applyNumberFormat="1" applyFont="1" applyBorder="1" applyProtection="1"/>
    <xf numFmtId="169" fontId="39" fillId="0" borderId="15" xfId="86" applyNumberFormat="1" applyFont="1" applyBorder="1" applyProtection="1"/>
    <xf numFmtId="169" fontId="7" fillId="0" borderId="6" xfId="86" applyNumberFormat="1" applyFont="1" applyBorder="1" applyProtection="1"/>
    <xf numFmtId="169" fontId="7" fillId="0" borderId="16" xfId="86" applyNumberFormat="1" applyFont="1" applyBorder="1" applyProtection="1"/>
    <xf numFmtId="169" fontId="54" fillId="26" borderId="14" xfId="86" applyNumberFormat="1" applyFont="1" applyFill="1" applyBorder="1" applyAlignment="1" applyProtection="1">
      <alignment horizontal="right"/>
    </xf>
    <xf numFmtId="169" fontId="7" fillId="0" borderId="14" xfId="86" applyNumberFormat="1" applyFont="1" applyBorder="1" applyProtection="1"/>
    <xf numFmtId="169" fontId="39" fillId="0" borderId="24" xfId="86" quotePrefix="1" applyNumberFormat="1" applyFont="1" applyBorder="1" applyAlignment="1" applyProtection="1">
      <alignment horizontal="center" wrapText="1"/>
    </xf>
    <xf numFmtId="169" fontId="39" fillId="0" borderId="24" xfId="86" applyNumberFormat="1" applyFont="1" applyBorder="1" applyAlignment="1" applyProtection="1">
      <alignment horizontal="center"/>
    </xf>
    <xf numFmtId="169" fontId="39" fillId="0" borderId="19" xfId="86" applyNumberFormat="1" applyFont="1" applyFill="1" applyBorder="1" applyAlignment="1" applyProtection="1">
      <alignment horizontal="center" wrapText="1"/>
    </xf>
    <xf numFmtId="169" fontId="39" fillId="0" borderId="19" xfId="86" applyNumberFormat="1" applyFont="1" applyBorder="1" applyAlignment="1" applyProtection="1">
      <alignment horizontal="center" wrapText="1"/>
    </xf>
    <xf numFmtId="169" fontId="39" fillId="0" borderId="24" xfId="86" applyNumberFormat="1" applyFont="1" applyFill="1" applyBorder="1" applyAlignment="1" applyProtection="1">
      <alignment horizontal="center" wrapText="1"/>
    </xf>
    <xf numFmtId="169" fontId="39" fillId="0" borderId="24" xfId="86" applyNumberFormat="1" applyFont="1" applyBorder="1" applyAlignment="1" applyProtection="1">
      <alignment horizontal="center" wrapText="1"/>
    </xf>
    <xf numFmtId="169" fontId="39" fillId="0" borderId="16" xfId="86" applyNumberFormat="1" applyFont="1" applyFill="1" applyBorder="1" applyAlignment="1" applyProtection="1">
      <alignment horizontal="center"/>
    </xf>
    <xf numFmtId="169" fontId="39" fillId="0" borderId="16" xfId="86" applyNumberFormat="1" applyFont="1" applyBorder="1" applyAlignment="1" applyProtection="1">
      <alignment horizontal="center"/>
    </xf>
    <xf numFmtId="169" fontId="39" fillId="0" borderId="26" xfId="86" applyNumberFormat="1" applyFont="1" applyBorder="1" applyAlignment="1" applyProtection="1">
      <alignment horizontal="center"/>
    </xf>
    <xf numFmtId="169" fontId="39" fillId="0" borderId="26" xfId="86" applyNumberFormat="1" applyFont="1" applyFill="1" applyBorder="1" applyAlignment="1" applyProtection="1">
      <alignment horizontal="center"/>
    </xf>
    <xf numFmtId="169" fontId="39" fillId="0" borderId="15" xfId="86" applyNumberFormat="1" applyFont="1" applyFill="1" applyBorder="1" applyAlignment="1" applyProtection="1">
      <alignment horizontal="center"/>
    </xf>
    <xf numFmtId="169" fontId="78" fillId="26" borderId="0" xfId="0" applyNumberFormat="1" applyFont="1" applyFill="1"/>
    <xf numFmtId="169" fontId="78" fillId="26" borderId="24" xfId="86" applyNumberFormat="1" applyFont="1" applyFill="1" applyBorder="1" applyProtection="1"/>
    <xf numFmtId="169" fontId="78" fillId="26" borderId="25" xfId="86" applyNumberFormat="1" applyFont="1" applyFill="1" applyBorder="1" applyProtection="1"/>
    <xf numFmtId="169" fontId="78" fillId="26" borderId="14" xfId="86" applyNumberFormat="1" applyFont="1" applyFill="1" applyBorder="1" applyProtection="1"/>
    <xf numFmtId="169" fontId="78" fillId="26" borderId="25" xfId="0" applyNumberFormat="1" applyFont="1" applyFill="1" applyBorder="1"/>
    <xf numFmtId="170" fontId="54" fillId="0" borderId="25" xfId="0" applyNumberFormat="1" applyFont="1" applyBorder="1"/>
    <xf numFmtId="169" fontId="1" fillId="0" borderId="25" xfId="86" applyNumberFormat="1" applyBorder="1" applyProtection="1"/>
    <xf numFmtId="169" fontId="7" fillId="0" borderId="25" xfId="86" applyNumberFormat="1" applyFont="1" applyBorder="1" applyProtection="1"/>
    <xf numFmtId="0" fontId="7" fillId="0" borderId="42" xfId="0" applyFont="1" applyBorder="1" applyAlignment="1">
      <alignment horizontal="center"/>
    </xf>
    <xf numFmtId="169" fontId="7" fillId="0" borderId="42" xfId="0" applyNumberFormat="1" applyFont="1" applyBorder="1"/>
    <xf numFmtId="169" fontId="1" fillId="0" borderId="42" xfId="86" applyNumberFormat="1" applyBorder="1" applyProtection="1"/>
    <xf numFmtId="169" fontId="7" fillId="0" borderId="42" xfId="86" applyNumberFormat="1" applyFont="1" applyBorder="1" applyProtection="1"/>
    <xf numFmtId="169" fontId="7" fillId="0" borderId="43" xfId="86" applyNumberFormat="1" applyFont="1" applyBorder="1" applyProtection="1"/>
    <xf numFmtId="170" fontId="7" fillId="0" borderId="43" xfId="0" applyNumberFormat="1" applyFont="1" applyBorder="1"/>
    <xf numFmtId="170" fontId="54" fillId="26" borderId="42" xfId="0" applyNumberFormat="1" applyFont="1" applyFill="1" applyBorder="1"/>
    <xf numFmtId="170" fontId="7" fillId="0" borderId="42" xfId="0" applyNumberFormat="1" applyFont="1" applyBorder="1"/>
    <xf numFmtId="0" fontId="7" fillId="0" borderId="2" xfId="0" applyFont="1" applyBorder="1"/>
    <xf numFmtId="169" fontId="7" fillId="0" borderId="25" xfId="86" applyNumberFormat="1" applyFont="1" applyFill="1" applyBorder="1" applyProtection="1"/>
    <xf numFmtId="169" fontId="1" fillId="0" borderId="26" xfId="86" applyNumberFormat="1" applyBorder="1" applyProtection="1"/>
    <xf numFmtId="169" fontId="7" fillId="0" borderId="26" xfId="86" applyNumberFormat="1" applyFont="1" applyFill="1" applyBorder="1" applyProtection="1"/>
    <xf numFmtId="0" fontId="69" fillId="0" borderId="0" xfId="0" applyFont="1"/>
    <xf numFmtId="168" fontId="7" fillId="0" borderId="29" xfId="191" applyFont="1" applyBorder="1" applyAlignment="1" applyProtection="1">
      <alignment horizontal="center"/>
    </xf>
    <xf numFmtId="168" fontId="7" fillId="0" borderId="29" xfId="191" quotePrefix="1" applyFont="1" applyBorder="1" applyAlignment="1" applyProtection="1">
      <alignment horizontal="center"/>
    </xf>
    <xf numFmtId="3" fontId="7" fillId="0" borderId="30" xfId="191" applyNumberFormat="1" applyFont="1" applyBorder="1" applyAlignment="1" applyProtection="1">
      <alignment horizontal="center"/>
    </xf>
    <xf numFmtId="169" fontId="7" fillId="0" borderId="13" xfId="86" quotePrefix="1" applyNumberFormat="1" applyFont="1" applyBorder="1" applyAlignment="1" applyProtection="1">
      <alignment horizontal="right"/>
    </xf>
    <xf numFmtId="169" fontId="39" fillId="0" borderId="0" xfId="86" applyNumberFormat="1" applyFont="1" applyBorder="1" applyProtection="1"/>
    <xf numFmtId="0" fontId="57" fillId="0" borderId="31" xfId="86" applyNumberFormat="1" applyFont="1" applyFill="1" applyBorder="1" applyAlignment="1" applyProtection="1">
      <alignment horizontal="left"/>
    </xf>
    <xf numFmtId="169" fontId="7" fillId="0" borderId="32" xfId="86" quotePrefix="1" applyNumberFormat="1" applyFont="1" applyBorder="1" applyAlignment="1" applyProtection="1">
      <alignment horizontal="right"/>
    </xf>
    <xf numFmtId="169" fontId="39" fillId="0" borderId="11" xfId="86" applyNumberFormat="1" applyFont="1" applyBorder="1" applyProtection="1"/>
    <xf numFmtId="169" fontId="55" fillId="0" borderId="26" xfId="86" applyNumberFormat="1" applyFont="1" applyBorder="1" applyProtection="1"/>
    <xf numFmtId="169" fontId="39" fillId="0" borderId="6" xfId="86" applyNumberFormat="1" applyFont="1" applyFill="1" applyBorder="1" applyAlignment="1" applyProtection="1">
      <alignment horizontal="left"/>
    </xf>
    <xf numFmtId="169" fontId="39" fillId="0" borderId="16" xfId="86" applyNumberFormat="1" applyFont="1" applyFill="1" applyBorder="1" applyAlignment="1" applyProtection="1">
      <alignment horizontal="left"/>
    </xf>
    <xf numFmtId="0" fontId="0" fillId="0" borderId="23" xfId="0" applyBorder="1"/>
    <xf numFmtId="169" fontId="39" fillId="0" borderId="0" xfId="86" quotePrefix="1" applyNumberFormat="1" applyFont="1" applyBorder="1" applyAlignment="1" applyProtection="1">
      <alignment horizontal="center" wrapText="1"/>
    </xf>
    <xf numFmtId="169" fontId="39" fillId="26" borderId="26" xfId="86" applyNumberFormat="1" applyFont="1" applyFill="1" applyBorder="1" applyAlignment="1" applyProtection="1">
      <alignment horizontal="center"/>
    </xf>
    <xf numFmtId="169" fontId="78" fillId="26" borderId="24" xfId="0" applyNumberFormat="1" applyFont="1" applyFill="1" applyBorder="1"/>
    <xf numFmtId="169" fontId="7" fillId="0" borderId="14" xfId="86" applyNumberFormat="1" applyFont="1" applyFill="1" applyBorder="1" applyProtection="1"/>
    <xf numFmtId="169" fontId="7" fillId="0" borderId="16" xfId="86" applyNumberFormat="1" applyFont="1" applyFill="1" applyBorder="1" applyProtection="1"/>
    <xf numFmtId="0" fontId="46" fillId="0" borderId="0" xfId="0" applyFont="1" applyAlignment="1">
      <alignment horizontal="center"/>
    </xf>
    <xf numFmtId="169" fontId="39" fillId="26" borderId="16" xfId="86" applyNumberFormat="1" applyFont="1" applyFill="1" applyBorder="1" applyAlignment="1" applyProtection="1">
      <alignment horizontal="center"/>
    </xf>
    <xf numFmtId="169" fontId="7" fillId="0" borderId="13" xfId="0" applyNumberFormat="1" applyFont="1" applyBorder="1"/>
    <xf numFmtId="169" fontId="7" fillId="0" borderId="14" xfId="86" applyNumberFormat="1" applyFont="1" applyFill="1" applyBorder="1" applyAlignment="1" applyProtection="1">
      <alignment horizontal="right"/>
    </xf>
    <xf numFmtId="170" fontId="7" fillId="0" borderId="19" xfId="0" applyNumberFormat="1" applyFont="1" applyBorder="1"/>
    <xf numFmtId="170" fontId="54" fillId="0" borderId="17" xfId="0" applyNumberFormat="1" applyFont="1" applyBorder="1"/>
    <xf numFmtId="170" fontId="7" fillId="0" borderId="13" xfId="0" applyNumberFormat="1" applyFont="1" applyBorder="1"/>
    <xf numFmtId="170" fontId="54" fillId="0" borderId="13" xfId="0" applyNumberFormat="1" applyFont="1" applyBorder="1"/>
    <xf numFmtId="0" fontId="81" fillId="0" borderId="0" xfId="191" applyNumberFormat="1" applyFont="1" applyProtection="1"/>
    <xf numFmtId="0" fontId="82" fillId="0" borderId="0" xfId="0" applyFont="1" applyAlignment="1">
      <alignment horizontal="left"/>
    </xf>
    <xf numFmtId="170" fontId="54" fillId="0" borderId="34" xfId="0" applyNumberFormat="1" applyFont="1" applyBorder="1"/>
    <xf numFmtId="170" fontId="7" fillId="0" borderId="40" xfId="0" applyNumberFormat="1" applyFont="1" applyBorder="1"/>
    <xf numFmtId="170" fontId="7" fillId="0" borderId="34" xfId="0" applyNumberFormat="1" applyFont="1" applyBorder="1"/>
    <xf numFmtId="170" fontId="7" fillId="0" borderId="10" xfId="0" applyNumberFormat="1" applyFont="1" applyBorder="1"/>
    <xf numFmtId="169" fontId="1" fillId="0" borderId="0" xfId="86" applyNumberFormat="1" applyBorder="1" applyProtection="1"/>
    <xf numFmtId="169" fontId="78" fillId="26" borderId="14" xfId="86" applyNumberFormat="1" applyFont="1" applyFill="1" applyBorder="1" applyAlignment="1" applyProtection="1">
      <alignment horizontal="right"/>
    </xf>
    <xf numFmtId="169" fontId="39" fillId="0" borderId="31" xfId="86" applyNumberFormat="1" applyFont="1" applyBorder="1" applyAlignment="1" applyProtection="1">
      <alignment horizontal="center"/>
    </xf>
    <xf numFmtId="170" fontId="54" fillId="0" borderId="33" xfId="0" applyNumberFormat="1" applyFont="1" applyBorder="1"/>
    <xf numFmtId="170" fontId="54" fillId="0" borderId="42" xfId="0" applyNumberFormat="1" applyFont="1" applyBorder="1"/>
    <xf numFmtId="170" fontId="7" fillId="0" borderId="2" xfId="0" applyNumberFormat="1" applyFont="1" applyBorder="1"/>
    <xf numFmtId="170" fontId="7" fillId="0" borderId="17" xfId="0" applyNumberFormat="1" applyFont="1" applyBorder="1"/>
    <xf numFmtId="170" fontId="54" fillId="0" borderId="18" xfId="0" applyNumberFormat="1" applyFont="1" applyBorder="1"/>
    <xf numFmtId="170" fontId="54" fillId="0" borderId="0" xfId="0" applyNumberFormat="1" applyFont="1"/>
    <xf numFmtId="169" fontId="7" fillId="0" borderId="26" xfId="86" applyNumberFormat="1" applyFont="1" applyBorder="1" applyProtection="1"/>
    <xf numFmtId="169" fontId="80" fillId="26" borderId="0" xfId="0" applyNumberFormat="1" applyFont="1" applyFill="1"/>
    <xf numFmtId="169" fontId="80" fillId="26" borderId="25" xfId="86" applyNumberFormat="1" applyFont="1" applyFill="1" applyBorder="1" applyProtection="1"/>
    <xf numFmtId="169" fontId="80" fillId="26" borderId="25" xfId="0" applyNumberFormat="1" applyFont="1" applyFill="1" applyBorder="1"/>
    <xf numFmtId="169" fontId="80" fillId="26" borderId="24" xfId="0" applyNumberFormat="1" applyFont="1" applyFill="1" applyBorder="1"/>
    <xf numFmtId="170" fontId="80" fillId="26" borderId="25" xfId="0" applyNumberFormat="1" applyFont="1" applyFill="1" applyBorder="1"/>
    <xf numFmtId="169" fontId="80" fillId="26" borderId="14" xfId="86" applyNumberFormat="1" applyFont="1" applyFill="1" applyBorder="1" applyProtection="1"/>
    <xf numFmtId="169" fontId="7" fillId="0" borderId="15" xfId="0" applyNumberFormat="1" applyFont="1" applyBorder="1"/>
    <xf numFmtId="169" fontId="80" fillId="26" borderId="24" xfId="86" applyNumberFormat="1" applyFont="1" applyFill="1" applyBorder="1" applyProtection="1"/>
    <xf numFmtId="0" fontId="79" fillId="27" borderId="22" xfId="0" applyFont="1" applyFill="1" applyBorder="1"/>
    <xf numFmtId="169" fontId="80" fillId="26" borderId="14" xfId="86" applyNumberFormat="1" applyFont="1" applyFill="1" applyBorder="1" applyAlignment="1" applyProtection="1">
      <alignment horizontal="right"/>
    </xf>
    <xf numFmtId="169" fontId="54" fillId="0" borderId="16" xfId="86" applyNumberFormat="1" applyFont="1" applyFill="1" applyBorder="1" applyProtection="1"/>
    <xf numFmtId="169" fontId="7" fillId="0" borderId="0" xfId="0" applyNumberFormat="1" applyFont="1" applyAlignment="1">
      <alignment horizontal="left"/>
    </xf>
    <xf numFmtId="169" fontId="54" fillId="0" borderId="25" xfId="86" applyNumberFormat="1" applyFont="1" applyFill="1" applyBorder="1" applyProtection="1"/>
    <xf numFmtId="169" fontId="54" fillId="0" borderId="14" xfId="86" applyNumberFormat="1" applyFont="1" applyFill="1" applyBorder="1" applyProtection="1"/>
    <xf numFmtId="169" fontId="7" fillId="0" borderId="25" xfId="87" applyNumberFormat="1" applyBorder="1" applyProtection="1"/>
    <xf numFmtId="169" fontId="7" fillId="0" borderId="14" xfId="87" applyNumberFormat="1" applyFont="1" applyFill="1" applyBorder="1" applyProtection="1"/>
    <xf numFmtId="169" fontId="7" fillId="0" borderId="26" xfId="87" applyNumberFormat="1" applyBorder="1" applyProtection="1"/>
    <xf numFmtId="169" fontId="7" fillId="0" borderId="16" xfId="87" applyNumberFormat="1" applyFont="1" applyFill="1" applyBorder="1" applyProtection="1"/>
    <xf numFmtId="170" fontId="78" fillId="0" borderId="14" xfId="0" applyNumberFormat="1" applyFont="1" applyBorder="1"/>
    <xf numFmtId="0" fontId="81" fillId="0" borderId="0" xfId="0" applyFont="1" applyAlignment="1">
      <alignment horizontal="left"/>
    </xf>
    <xf numFmtId="0" fontId="78" fillId="26" borderId="14" xfId="86" applyNumberFormat="1" applyFont="1" applyFill="1" applyBorder="1" applyAlignment="1" applyProtection="1">
      <alignment horizontal="right"/>
    </xf>
    <xf numFmtId="0" fontId="54" fillId="26" borderId="20" xfId="0" applyFont="1" applyFill="1" applyBorder="1" applyAlignment="1">
      <alignment horizontal="right"/>
    </xf>
    <xf numFmtId="169" fontId="1" fillId="26" borderId="0" xfId="0" applyNumberFormat="1" applyFont="1" applyFill="1"/>
    <xf numFmtId="169" fontId="1" fillId="26" borderId="24" xfId="86" applyNumberFormat="1" applyFont="1" applyFill="1" applyBorder="1"/>
    <xf numFmtId="169" fontId="1" fillId="26" borderId="25" xfId="0" applyNumberFormat="1" applyFont="1" applyFill="1" applyBorder="1"/>
    <xf numFmtId="169" fontId="1" fillId="26" borderId="14" xfId="86" applyNumberFormat="1" applyFont="1" applyFill="1" applyBorder="1"/>
    <xf numFmtId="169" fontId="1" fillId="0" borderId="25" xfId="86" applyNumberFormat="1" applyFont="1" applyBorder="1" applyProtection="1"/>
    <xf numFmtId="169" fontId="1" fillId="26" borderId="25" xfId="86" applyNumberFormat="1" applyFont="1" applyFill="1" applyBorder="1" applyProtection="1"/>
    <xf numFmtId="169" fontId="1" fillId="26" borderId="14" xfId="86" applyNumberFormat="1" applyFont="1" applyFill="1" applyBorder="1" applyProtection="1"/>
    <xf numFmtId="169" fontId="54" fillId="26" borderId="25" xfId="0" applyNumberFormat="1" applyFont="1" applyFill="1" applyBorder="1"/>
    <xf numFmtId="169" fontId="54" fillId="26" borderId="25" xfId="86" applyNumberFormat="1" applyFont="1" applyFill="1" applyBorder="1" applyProtection="1"/>
    <xf numFmtId="169" fontId="54" fillId="26" borderId="14" xfId="86" applyNumberFormat="1" applyFont="1" applyFill="1" applyBorder="1" applyProtection="1"/>
    <xf numFmtId="0" fontId="1" fillId="0" borderId="0" xfId="0" applyFont="1"/>
    <xf numFmtId="0" fontId="1" fillId="0" borderId="0" xfId="0" applyFont="1" applyAlignment="1">
      <alignment horizontal="center"/>
    </xf>
    <xf numFmtId="169" fontId="1" fillId="0" borderId="0" xfId="86" applyNumberFormat="1" applyFont="1"/>
    <xf numFmtId="169" fontId="1" fillId="0" borderId="0" xfId="86" applyNumberFormat="1" applyFont="1" applyBorder="1"/>
    <xf numFmtId="0" fontId="1" fillId="0" borderId="18" xfId="0" applyFont="1" applyBorder="1"/>
    <xf numFmtId="169" fontId="1" fillId="0" borderId="6" xfId="86" applyNumberFormat="1" applyFont="1" applyBorder="1"/>
    <xf numFmtId="169" fontId="1" fillId="0" borderId="16" xfId="86" applyNumberFormat="1" applyFont="1" applyBorder="1"/>
    <xf numFmtId="0" fontId="1" fillId="0" borderId="0" xfId="0" applyFont="1" applyAlignment="1">
      <alignment wrapText="1"/>
    </xf>
    <xf numFmtId="0" fontId="1" fillId="0" borderId="22" xfId="0" applyFont="1" applyBorder="1" applyAlignment="1">
      <alignment horizontal="left"/>
    </xf>
    <xf numFmtId="0" fontId="1" fillId="0" borderId="13" xfId="0" applyFont="1" applyBorder="1"/>
    <xf numFmtId="169" fontId="1" fillId="0" borderId="14" xfId="0" applyNumberFormat="1" applyFont="1" applyBorder="1" applyAlignment="1">
      <alignment horizontal="right"/>
    </xf>
    <xf numFmtId="169" fontId="1" fillId="0" borderId="0" xfId="0" applyNumberFormat="1" applyFont="1" applyAlignment="1">
      <alignment horizontal="right"/>
    </xf>
    <xf numFmtId="10" fontId="1" fillId="0" borderId="14" xfId="0" applyNumberFormat="1" applyFont="1" applyBorder="1"/>
    <xf numFmtId="169" fontId="1" fillId="0" borderId="14" xfId="86" applyNumberFormat="1" applyFont="1" applyBorder="1"/>
    <xf numFmtId="0" fontId="1" fillId="0" borderId="25" xfId="0" applyFont="1" applyBorder="1" applyAlignment="1">
      <alignment horizontal="center"/>
    </xf>
    <xf numFmtId="169" fontId="1" fillId="0" borderId="0" xfId="0" applyNumberFormat="1" applyFont="1"/>
    <xf numFmtId="169" fontId="1" fillId="0" borderId="25" xfId="0" applyNumberFormat="1" applyFont="1" applyBorder="1"/>
    <xf numFmtId="170" fontId="1" fillId="0" borderId="14" xfId="0" applyNumberFormat="1" applyFont="1" applyBorder="1"/>
    <xf numFmtId="170" fontId="1" fillId="0" borderId="24" xfId="0" applyNumberFormat="1" applyFont="1" applyBorder="1"/>
    <xf numFmtId="170" fontId="1" fillId="0" borderId="25" xfId="0" applyNumberFormat="1" applyFont="1" applyBorder="1"/>
    <xf numFmtId="169" fontId="1" fillId="0" borderId="25" xfId="86" applyNumberFormat="1" applyFont="1" applyBorder="1"/>
    <xf numFmtId="169" fontId="1" fillId="0" borderId="25" xfId="86" applyNumberFormat="1" applyFont="1" applyFill="1" applyBorder="1"/>
    <xf numFmtId="0" fontId="1" fillId="0" borderId="26" xfId="0" applyFont="1" applyBorder="1" applyAlignment="1">
      <alignment horizontal="center"/>
    </xf>
    <xf numFmtId="169" fontId="1" fillId="0" borderId="26" xfId="0" applyNumberFormat="1" applyFont="1" applyBorder="1"/>
    <xf numFmtId="169" fontId="1" fillId="0" borderId="26" xfId="86" applyNumberFormat="1" applyFont="1" applyFill="1" applyBorder="1"/>
    <xf numFmtId="170" fontId="1" fillId="0" borderId="16" xfId="0" applyNumberFormat="1" applyFont="1" applyBorder="1"/>
    <xf numFmtId="170" fontId="1" fillId="0" borderId="26" xfId="0" applyNumberFormat="1" applyFont="1" applyBorder="1"/>
    <xf numFmtId="170" fontId="1" fillId="0" borderId="0" xfId="0" applyNumberFormat="1" applyFont="1"/>
    <xf numFmtId="0" fontId="1" fillId="0" borderId="0" xfId="0" applyFont="1" applyAlignment="1">
      <alignment horizontal="left"/>
    </xf>
    <xf numFmtId="168" fontId="1" fillId="0" borderId="29" xfId="191" applyFont="1" applyBorder="1" applyAlignment="1" applyProtection="1">
      <alignment horizontal="center"/>
      <protection locked="0"/>
    </xf>
    <xf numFmtId="168" fontId="1" fillId="0" borderId="29" xfId="191" quotePrefix="1" applyFont="1" applyBorder="1" applyAlignment="1" applyProtection="1">
      <alignment horizontal="center"/>
      <protection locked="0"/>
    </xf>
    <xf numFmtId="3" fontId="1" fillId="0" borderId="30" xfId="191" applyNumberFormat="1" applyFont="1" applyBorder="1" applyAlignment="1" applyProtection="1">
      <alignment horizontal="center"/>
      <protection locked="0"/>
    </xf>
    <xf numFmtId="169" fontId="1" fillId="0" borderId="13" xfId="86" quotePrefix="1" applyNumberFormat="1" applyFont="1" applyBorder="1" applyAlignment="1">
      <alignment horizontal="right"/>
    </xf>
    <xf numFmtId="169" fontId="1" fillId="0" borderId="14" xfId="0" applyNumberFormat="1" applyFont="1" applyBorder="1"/>
    <xf numFmtId="169" fontId="1" fillId="0" borderId="32" xfId="86" quotePrefix="1" applyNumberFormat="1" applyFont="1" applyBorder="1" applyAlignment="1">
      <alignment horizontal="right"/>
    </xf>
    <xf numFmtId="169" fontId="1" fillId="0" borderId="20" xfId="0" applyNumberFormat="1" applyFont="1" applyBorder="1"/>
    <xf numFmtId="0" fontId="1" fillId="0" borderId="15" xfId="0" quotePrefix="1" applyFont="1" applyBorder="1" applyAlignment="1">
      <alignment horizontal="right"/>
    </xf>
    <xf numFmtId="0" fontId="1" fillId="0" borderId="21" xfId="0" applyFont="1" applyBorder="1" applyAlignment="1">
      <alignment horizontal="center"/>
    </xf>
    <xf numFmtId="169" fontId="1" fillId="0" borderId="14" xfId="86" applyNumberFormat="1" applyFont="1" applyFill="1" applyBorder="1" applyAlignment="1">
      <alignment horizontal="right"/>
    </xf>
    <xf numFmtId="0" fontId="1" fillId="0" borderId="14" xfId="0" applyFont="1" applyBorder="1" applyAlignment="1">
      <alignment horizontal="right"/>
    </xf>
    <xf numFmtId="0" fontId="1" fillId="0" borderId="16" xfId="0" applyFont="1" applyBorder="1" applyAlignment="1">
      <alignment horizontal="right"/>
    </xf>
    <xf numFmtId="0" fontId="1" fillId="0" borderId="15" xfId="0" applyFont="1" applyBorder="1"/>
    <xf numFmtId="0" fontId="1" fillId="0" borderId="6" xfId="0" applyFont="1" applyBorder="1" applyAlignment="1">
      <alignment horizontal="center"/>
    </xf>
    <xf numFmtId="169" fontId="1" fillId="0" borderId="24" xfId="0" applyNumberFormat="1" applyFont="1" applyBorder="1"/>
    <xf numFmtId="169" fontId="1" fillId="0" borderId="6" xfId="0" applyNumberFormat="1" applyFont="1" applyBorder="1"/>
    <xf numFmtId="169" fontId="52" fillId="26" borderId="2" xfId="86" applyNumberFormat="1" applyFont="1" applyFill="1" applyBorder="1" applyAlignment="1" applyProtection="1">
      <alignment vertical="center"/>
    </xf>
    <xf numFmtId="169" fontId="54" fillId="26" borderId="0" xfId="86" applyNumberFormat="1" applyFont="1" applyFill="1" applyAlignment="1" applyProtection="1">
      <alignment vertical="center"/>
    </xf>
    <xf numFmtId="37" fontId="1" fillId="26" borderId="25" xfId="0" applyNumberFormat="1" applyFont="1" applyFill="1" applyBorder="1"/>
    <xf numFmtId="0" fontId="0" fillId="0" borderId="0" xfId="0" applyAlignment="1">
      <alignment horizontal="center" wrapText="1"/>
    </xf>
    <xf numFmtId="37" fontId="0" fillId="0" borderId="0" xfId="0" applyNumberFormat="1"/>
    <xf numFmtId="37" fontId="1" fillId="0" borderId="25" xfId="86" applyNumberFormat="1" applyFont="1" applyBorder="1" applyProtection="1"/>
    <xf numFmtId="37" fontId="1" fillId="0" borderId="14" xfId="86" applyNumberFormat="1" applyFont="1" applyFill="1" applyBorder="1" applyProtection="1"/>
    <xf numFmtId="37" fontId="1" fillId="0" borderId="25" xfId="86" applyNumberFormat="1" applyFont="1" applyFill="1" applyBorder="1"/>
    <xf numFmtId="37" fontId="1" fillId="0" borderId="14" xfId="86" applyNumberFormat="1" applyFont="1" applyFill="1" applyBorder="1"/>
    <xf numFmtId="37" fontId="1" fillId="0" borderId="16" xfId="86" applyNumberFormat="1" applyFont="1" applyFill="1" applyBorder="1" applyProtection="1"/>
    <xf numFmtId="37" fontId="1" fillId="0" borderId="16" xfId="86" applyNumberFormat="1" applyFont="1" applyBorder="1"/>
    <xf numFmtId="169" fontId="1" fillId="0" borderId="14" xfId="86" applyNumberFormat="1" applyFont="1" applyFill="1" applyBorder="1" applyProtection="1"/>
    <xf numFmtId="169" fontId="1" fillId="0" borderId="14" xfId="86" applyNumberFormat="1" applyFont="1" applyFill="1" applyBorder="1"/>
    <xf numFmtId="169" fontId="1" fillId="0" borderId="16" xfId="86" applyNumberFormat="1" applyFont="1" applyFill="1" applyBorder="1" applyProtection="1"/>
    <xf numFmtId="0" fontId="1" fillId="0" borderId="0" xfId="174" quotePrefix="1" applyFont="1" applyAlignment="1">
      <alignment horizontal="left" vertical="center"/>
    </xf>
    <xf numFmtId="0" fontId="1" fillId="0" borderId="14" xfId="174" quotePrefix="1" applyFont="1" applyBorder="1" applyAlignment="1">
      <alignment horizontal="left" vertical="center"/>
    </xf>
    <xf numFmtId="0" fontId="39" fillId="0" borderId="22" xfId="0" applyFont="1" applyBorder="1" applyAlignment="1">
      <alignment horizontal="left"/>
    </xf>
    <xf numFmtId="0" fontId="0" fillId="0" borderId="22" xfId="0" applyBorder="1" applyAlignment="1">
      <alignment horizontal="left"/>
    </xf>
    <xf numFmtId="0" fontId="0" fillId="0" borderId="22" xfId="0" applyBorder="1" applyAlignment="1">
      <alignment horizontal="left" vertical="top"/>
    </xf>
    <xf numFmtId="170" fontId="7" fillId="0" borderId="50" xfId="0" applyNumberFormat="1" applyFont="1" applyBorder="1"/>
    <xf numFmtId="170" fontId="7" fillId="0" borderId="49" xfId="0" applyNumberFormat="1" applyFont="1" applyBorder="1"/>
    <xf numFmtId="37" fontId="7" fillId="0" borderId="14" xfId="86" applyNumberFormat="1" applyFont="1" applyFill="1" applyBorder="1" applyAlignment="1" applyProtection="1">
      <alignment horizontal="right"/>
    </xf>
    <xf numFmtId="37" fontId="54" fillId="26" borderId="14" xfId="86" applyNumberFormat="1" applyFont="1" applyFill="1" applyBorder="1" applyAlignment="1" applyProtection="1">
      <alignment horizontal="right"/>
    </xf>
    <xf numFmtId="37" fontId="7" fillId="0" borderId="0" xfId="191" applyNumberFormat="1" applyFont="1" applyProtection="1"/>
    <xf numFmtId="37" fontId="7" fillId="0" borderId="11" xfId="191" applyNumberFormat="1" applyFont="1" applyBorder="1" applyProtection="1"/>
    <xf numFmtId="37" fontId="7" fillId="0" borderId="0" xfId="0" applyNumberFormat="1" applyFont="1"/>
    <xf numFmtId="169" fontId="0" fillId="0" borderId="19" xfId="0" applyNumberFormat="1" applyBorder="1"/>
    <xf numFmtId="0" fontId="63" fillId="0" borderId="14" xfId="0" applyFont="1" applyBorder="1" applyAlignment="1">
      <alignment horizontal="center"/>
    </xf>
    <xf numFmtId="0" fontId="39" fillId="0" borderId="11" xfId="0" applyFont="1" applyBorder="1" applyAlignment="1">
      <alignment horizontal="center"/>
    </xf>
    <xf numFmtId="0" fontId="65" fillId="0" borderId="0" xfId="0" applyFont="1" applyAlignment="1">
      <alignment horizontal="center" wrapText="1"/>
    </xf>
    <xf numFmtId="0" fontId="0" fillId="0" borderId="0" xfId="0" applyAlignment="1">
      <alignment horizontal="left" vertical="top" wrapText="1"/>
    </xf>
    <xf numFmtId="168" fontId="7" fillId="0" borderId="17" xfId="191" applyFont="1" applyBorder="1" applyAlignment="1" applyProtection="1">
      <alignment wrapText="1"/>
    </xf>
    <xf numFmtId="0" fontId="7" fillId="0" borderId="18" xfId="0" applyFont="1" applyBorder="1" applyAlignment="1">
      <alignment wrapText="1"/>
    </xf>
    <xf numFmtId="0" fontId="7" fillId="0" borderId="19" xfId="0" applyFont="1" applyBorder="1" applyAlignment="1">
      <alignment wrapText="1"/>
    </xf>
    <xf numFmtId="0" fontId="7" fillId="0" borderId="13" xfId="0" applyFont="1" applyBorder="1" applyAlignment="1">
      <alignment wrapText="1"/>
    </xf>
    <xf numFmtId="0" fontId="7" fillId="0" borderId="0" xfId="0" applyFont="1" applyAlignment="1">
      <alignment wrapText="1"/>
    </xf>
    <xf numFmtId="0" fontId="7" fillId="0" borderId="14" xfId="0" applyFont="1" applyBorder="1" applyAlignment="1">
      <alignment wrapText="1"/>
    </xf>
    <xf numFmtId="0" fontId="6" fillId="0" borderId="0" xfId="0" applyFont="1" applyAlignment="1">
      <alignment wrapText="1"/>
    </xf>
    <xf numFmtId="0" fontId="0" fillId="0" borderId="0" xfId="0" applyAlignment="1">
      <alignment wrapText="1"/>
    </xf>
    <xf numFmtId="49" fontId="46" fillId="0" borderId="0" xfId="0" applyNumberFormat="1" applyFont="1" applyAlignment="1">
      <alignment horizontal="center"/>
    </xf>
    <xf numFmtId="0" fontId="46" fillId="0" borderId="0" xfId="0" applyFont="1" applyAlignment="1">
      <alignment horizontal="center"/>
    </xf>
    <xf numFmtId="0" fontId="6" fillId="0" borderId="0" xfId="178" quotePrefix="1" applyFont="1" applyAlignment="1">
      <alignment horizontal="center"/>
    </xf>
    <xf numFmtId="0" fontId="46" fillId="0" borderId="0" xfId="178" applyFont="1" applyAlignment="1">
      <alignment horizontal="center"/>
    </xf>
    <xf numFmtId="3" fontId="6" fillId="0" borderId="0" xfId="0" applyNumberFormat="1" applyFont="1" applyAlignment="1">
      <alignment horizontal="center"/>
    </xf>
    <xf numFmtId="49" fontId="6" fillId="0" borderId="0" xfId="0" applyNumberFormat="1" applyFont="1" applyAlignment="1">
      <alignment horizontal="center"/>
    </xf>
    <xf numFmtId="0" fontId="6" fillId="0" borderId="0" xfId="0" applyFont="1" applyAlignment="1">
      <alignment horizontal="center"/>
    </xf>
  </cellXfs>
  <cellStyles count="264">
    <cellStyle name="20% - Accent1" xfId="1" builtinId="30" customBuiltin="1"/>
    <cellStyle name="20% - Accent1 2" xfId="2" xr:uid="{00000000-0005-0000-0000-000001000000}"/>
    <cellStyle name="20% - Accent2" xfId="3" builtinId="34" customBuiltin="1"/>
    <cellStyle name="20% - Accent2 2" xfId="4" xr:uid="{00000000-0005-0000-0000-000003000000}"/>
    <cellStyle name="20% - Accent3" xfId="5" builtinId="38" customBuiltin="1"/>
    <cellStyle name="20% - Accent3 2" xfId="6" xr:uid="{00000000-0005-0000-0000-000005000000}"/>
    <cellStyle name="20% - Accent4" xfId="7" builtinId="42" customBuiltin="1"/>
    <cellStyle name="20% - Accent4 2" xfId="8" xr:uid="{00000000-0005-0000-0000-000007000000}"/>
    <cellStyle name="20% - Accent5" xfId="9" builtinId="46" customBuiltin="1"/>
    <cellStyle name="20% - Accent5 2" xfId="10" xr:uid="{00000000-0005-0000-0000-000009000000}"/>
    <cellStyle name="20% - Accent6" xfId="11" builtinId="50" customBuiltin="1"/>
    <cellStyle name="20% - Accent6 2" xfId="12" xr:uid="{00000000-0005-0000-0000-00000B000000}"/>
    <cellStyle name="40% - Accent1" xfId="13" builtinId="31" customBuiltin="1"/>
    <cellStyle name="40% - Accent1 2" xfId="14" xr:uid="{00000000-0005-0000-0000-00000D000000}"/>
    <cellStyle name="40% - Accent2" xfId="15" builtinId="35" customBuiltin="1"/>
    <cellStyle name="40% - Accent2 2" xfId="16" xr:uid="{00000000-0005-0000-0000-00000F000000}"/>
    <cellStyle name="40% - Accent3" xfId="17" builtinId="39" customBuiltin="1"/>
    <cellStyle name="40% - Accent3 2" xfId="18" xr:uid="{00000000-0005-0000-0000-000011000000}"/>
    <cellStyle name="40% - Accent4" xfId="19" builtinId="43" customBuiltin="1"/>
    <cellStyle name="40% - Accent4 2" xfId="20" xr:uid="{00000000-0005-0000-0000-000013000000}"/>
    <cellStyle name="40% - Accent5" xfId="21" builtinId="47" customBuiltin="1"/>
    <cellStyle name="40% - Accent5 2" xfId="22" xr:uid="{00000000-0005-0000-0000-000015000000}"/>
    <cellStyle name="40% - Accent6" xfId="23" builtinId="51" customBuiltin="1"/>
    <cellStyle name="40% - Accent6 2" xfId="24" xr:uid="{00000000-0005-0000-0000-000017000000}"/>
    <cellStyle name="60% - Accent1" xfId="25" builtinId="32" customBuiltin="1"/>
    <cellStyle name="60% - Accent1 2" xfId="26" xr:uid="{00000000-0005-0000-0000-000019000000}"/>
    <cellStyle name="60% - Accent2" xfId="27" builtinId="36" customBuiltin="1"/>
    <cellStyle name="60% - Accent2 2" xfId="28" xr:uid="{00000000-0005-0000-0000-00001B000000}"/>
    <cellStyle name="60% - Accent3" xfId="29" builtinId="40" customBuiltin="1"/>
    <cellStyle name="60% - Accent3 2" xfId="30" xr:uid="{00000000-0005-0000-0000-00001D000000}"/>
    <cellStyle name="60% - Accent4" xfId="31" builtinId="44" customBuiltin="1"/>
    <cellStyle name="60% - Accent4 2" xfId="32" xr:uid="{00000000-0005-0000-0000-00001F000000}"/>
    <cellStyle name="60% - Accent5" xfId="33" builtinId="48" customBuiltin="1"/>
    <cellStyle name="60% - Accent5 2" xfId="34" xr:uid="{00000000-0005-0000-0000-000021000000}"/>
    <cellStyle name="60% - Accent6" xfId="35" builtinId="52" customBuiltin="1"/>
    <cellStyle name="60% - Accent6 2" xfId="36" xr:uid="{00000000-0005-0000-0000-000023000000}"/>
    <cellStyle name="Accent1" xfId="37" builtinId="29" customBuiltin="1"/>
    <cellStyle name="Accent1 2" xfId="38" xr:uid="{00000000-0005-0000-0000-000025000000}"/>
    <cellStyle name="Accent2" xfId="39" builtinId="33" customBuiltin="1"/>
    <cellStyle name="Accent2 2" xfId="40" xr:uid="{00000000-0005-0000-0000-000027000000}"/>
    <cellStyle name="Accent3" xfId="41" builtinId="37" customBuiltin="1"/>
    <cellStyle name="Accent3 2" xfId="42" xr:uid="{00000000-0005-0000-0000-000029000000}"/>
    <cellStyle name="Accent4" xfId="43" builtinId="41" customBuiltin="1"/>
    <cellStyle name="Accent4 2" xfId="44" xr:uid="{00000000-0005-0000-0000-00002B000000}"/>
    <cellStyle name="Accent5" xfId="45" builtinId="45" customBuiltin="1"/>
    <cellStyle name="Accent5 2" xfId="46" xr:uid="{00000000-0005-0000-0000-00002D000000}"/>
    <cellStyle name="Accent6" xfId="47" builtinId="49" customBuiltin="1"/>
    <cellStyle name="Accent6 2" xfId="48" xr:uid="{00000000-0005-0000-0000-00002F000000}"/>
    <cellStyle name="Bad" xfId="49" builtinId="27" customBuiltin="1"/>
    <cellStyle name="Bad 2" xfId="50" xr:uid="{00000000-0005-0000-0000-000031000000}"/>
    <cellStyle name="C00A" xfId="51" xr:uid="{00000000-0005-0000-0000-000032000000}"/>
    <cellStyle name="C00B" xfId="52" xr:uid="{00000000-0005-0000-0000-000033000000}"/>
    <cellStyle name="C00L" xfId="53" xr:uid="{00000000-0005-0000-0000-000034000000}"/>
    <cellStyle name="C01A" xfId="54" xr:uid="{00000000-0005-0000-0000-000035000000}"/>
    <cellStyle name="C01B" xfId="55" xr:uid="{00000000-0005-0000-0000-000036000000}"/>
    <cellStyle name="C01H" xfId="56" xr:uid="{00000000-0005-0000-0000-000037000000}"/>
    <cellStyle name="C01L" xfId="57" xr:uid="{00000000-0005-0000-0000-000038000000}"/>
    <cellStyle name="C02A" xfId="58" xr:uid="{00000000-0005-0000-0000-000039000000}"/>
    <cellStyle name="C02B" xfId="59" xr:uid="{00000000-0005-0000-0000-00003A000000}"/>
    <cellStyle name="C02H" xfId="60" xr:uid="{00000000-0005-0000-0000-00003B000000}"/>
    <cellStyle name="C02L" xfId="61" xr:uid="{00000000-0005-0000-0000-00003C000000}"/>
    <cellStyle name="C03A" xfId="62" xr:uid="{00000000-0005-0000-0000-00003D000000}"/>
    <cellStyle name="C03B" xfId="63" xr:uid="{00000000-0005-0000-0000-00003E000000}"/>
    <cellStyle name="C03H" xfId="64" xr:uid="{00000000-0005-0000-0000-00003F000000}"/>
    <cellStyle name="C03L" xfId="65" xr:uid="{00000000-0005-0000-0000-000040000000}"/>
    <cellStyle name="C04A" xfId="66" xr:uid="{00000000-0005-0000-0000-000041000000}"/>
    <cellStyle name="C04B" xfId="67" xr:uid="{00000000-0005-0000-0000-000042000000}"/>
    <cellStyle name="C04H" xfId="68" xr:uid="{00000000-0005-0000-0000-000043000000}"/>
    <cellStyle name="C04L" xfId="69" xr:uid="{00000000-0005-0000-0000-000044000000}"/>
    <cellStyle name="C05A" xfId="70" xr:uid="{00000000-0005-0000-0000-000045000000}"/>
    <cellStyle name="C05B" xfId="71" xr:uid="{00000000-0005-0000-0000-000046000000}"/>
    <cellStyle name="C05H" xfId="72" xr:uid="{00000000-0005-0000-0000-000047000000}"/>
    <cellStyle name="C05L" xfId="73" xr:uid="{00000000-0005-0000-0000-000048000000}"/>
    <cellStyle name="C06A" xfId="74" xr:uid="{00000000-0005-0000-0000-000049000000}"/>
    <cellStyle name="C06B" xfId="75" xr:uid="{00000000-0005-0000-0000-00004A000000}"/>
    <cellStyle name="C06H" xfId="76" xr:uid="{00000000-0005-0000-0000-00004B000000}"/>
    <cellStyle name="C06L" xfId="77" xr:uid="{00000000-0005-0000-0000-00004C000000}"/>
    <cellStyle name="C07A" xfId="78" xr:uid="{00000000-0005-0000-0000-00004D000000}"/>
    <cellStyle name="C07B" xfId="79" xr:uid="{00000000-0005-0000-0000-00004E000000}"/>
    <cellStyle name="C07H" xfId="80" xr:uid="{00000000-0005-0000-0000-00004F000000}"/>
    <cellStyle name="C07L" xfId="81" xr:uid="{00000000-0005-0000-0000-000050000000}"/>
    <cellStyle name="Calculation" xfId="82" builtinId="22" customBuiltin="1"/>
    <cellStyle name="Calculation 2" xfId="83" xr:uid="{00000000-0005-0000-0000-000052000000}"/>
    <cellStyle name="Check Cell" xfId="84" builtinId="23" customBuiltin="1"/>
    <cellStyle name="Check Cell 2" xfId="85" xr:uid="{00000000-0005-0000-0000-000054000000}"/>
    <cellStyle name="Comma" xfId="86" builtinId="3"/>
    <cellStyle name="Comma 100" xfId="263" xr:uid="{00000000-0005-0000-0000-000056000000}"/>
    <cellStyle name="Comma 2" xfId="87" xr:uid="{00000000-0005-0000-0000-000057000000}"/>
    <cellStyle name="Comma 2 2" xfId="88" xr:uid="{00000000-0005-0000-0000-000058000000}"/>
    <cellStyle name="Comma 3" xfId="89" xr:uid="{00000000-0005-0000-0000-000059000000}"/>
    <cellStyle name="Comma 3 2" xfId="90" xr:uid="{00000000-0005-0000-0000-00005A000000}"/>
    <cellStyle name="Comma 3 3" xfId="91" xr:uid="{00000000-0005-0000-0000-00005B000000}"/>
    <cellStyle name="Comma 3 3 2" xfId="92" xr:uid="{00000000-0005-0000-0000-00005C000000}"/>
    <cellStyle name="Comma 3 4" xfId="93" xr:uid="{00000000-0005-0000-0000-00005D000000}"/>
    <cellStyle name="Comma 3 5" xfId="94" xr:uid="{00000000-0005-0000-0000-00005E000000}"/>
    <cellStyle name="Comma 4" xfId="95" xr:uid="{00000000-0005-0000-0000-00005F000000}"/>
    <cellStyle name="Comma 4 2" xfId="96" xr:uid="{00000000-0005-0000-0000-000060000000}"/>
    <cellStyle name="Comma 4 3" xfId="97" xr:uid="{00000000-0005-0000-0000-000061000000}"/>
    <cellStyle name="Comma 5" xfId="98" xr:uid="{00000000-0005-0000-0000-000062000000}"/>
    <cellStyle name="Comma 5 2" xfId="99" xr:uid="{00000000-0005-0000-0000-000063000000}"/>
    <cellStyle name="Comma 6" xfId="100" xr:uid="{00000000-0005-0000-0000-000064000000}"/>
    <cellStyle name="Comma 7" xfId="101" xr:uid="{00000000-0005-0000-0000-000065000000}"/>
    <cellStyle name="Comma0" xfId="102" xr:uid="{00000000-0005-0000-0000-000066000000}"/>
    <cellStyle name="Comma0 2" xfId="103" xr:uid="{00000000-0005-0000-0000-000067000000}"/>
    <cellStyle name="Comma0 2 2" xfId="104" xr:uid="{00000000-0005-0000-0000-000068000000}"/>
    <cellStyle name="Comma0 3" xfId="105" xr:uid="{00000000-0005-0000-0000-000069000000}"/>
    <cellStyle name="Currency" xfId="106" builtinId="4"/>
    <cellStyle name="Currency 2" xfId="107" xr:uid="{00000000-0005-0000-0000-00006B000000}"/>
    <cellStyle name="Currency 2 2" xfId="108" xr:uid="{00000000-0005-0000-0000-00006C000000}"/>
    <cellStyle name="Currency 2 2 2" xfId="109" xr:uid="{00000000-0005-0000-0000-00006D000000}"/>
    <cellStyle name="Currency 3" xfId="110" xr:uid="{00000000-0005-0000-0000-00006E000000}"/>
    <cellStyle name="Currency 3 2" xfId="111" xr:uid="{00000000-0005-0000-0000-00006F000000}"/>
    <cellStyle name="Currency 3 3" xfId="112" xr:uid="{00000000-0005-0000-0000-000070000000}"/>
    <cellStyle name="Currency 3 3 2" xfId="113" xr:uid="{00000000-0005-0000-0000-000071000000}"/>
    <cellStyle name="Currency 3 4" xfId="114" xr:uid="{00000000-0005-0000-0000-000072000000}"/>
    <cellStyle name="Currency 3 5" xfId="115" xr:uid="{00000000-0005-0000-0000-000073000000}"/>
    <cellStyle name="Currency 4" xfId="116" xr:uid="{00000000-0005-0000-0000-000074000000}"/>
    <cellStyle name="Currency 4 2" xfId="117" xr:uid="{00000000-0005-0000-0000-000075000000}"/>
    <cellStyle name="Currency 4 2 2" xfId="118" xr:uid="{00000000-0005-0000-0000-000076000000}"/>
    <cellStyle name="Currency 5" xfId="119" xr:uid="{00000000-0005-0000-0000-000077000000}"/>
    <cellStyle name="Currency 5 2" xfId="120" xr:uid="{00000000-0005-0000-0000-000078000000}"/>
    <cellStyle name="Currency 6" xfId="121" xr:uid="{00000000-0005-0000-0000-000079000000}"/>
    <cellStyle name="Currency 6 2" xfId="122" xr:uid="{00000000-0005-0000-0000-00007A000000}"/>
    <cellStyle name="Currency 6 3" xfId="123" xr:uid="{00000000-0005-0000-0000-00007B000000}"/>
    <cellStyle name="Currency 6 4" xfId="124" xr:uid="{00000000-0005-0000-0000-00007C000000}"/>
    <cellStyle name="Currency0" xfId="125" xr:uid="{00000000-0005-0000-0000-00007D000000}"/>
    <cellStyle name="Currency0 2" xfId="126" xr:uid="{00000000-0005-0000-0000-00007E000000}"/>
    <cellStyle name="Currency0 2 2" xfId="127" xr:uid="{00000000-0005-0000-0000-00007F000000}"/>
    <cellStyle name="Currency0 3" xfId="128" xr:uid="{00000000-0005-0000-0000-000080000000}"/>
    <cellStyle name="Date" xfId="129" xr:uid="{00000000-0005-0000-0000-000081000000}"/>
    <cellStyle name="Date 2" xfId="130" xr:uid="{00000000-0005-0000-0000-000082000000}"/>
    <cellStyle name="Date 2 2" xfId="131" xr:uid="{00000000-0005-0000-0000-000083000000}"/>
    <cellStyle name="Date 3" xfId="132" xr:uid="{00000000-0005-0000-0000-000084000000}"/>
    <cellStyle name="Explanatory Text" xfId="133" builtinId="53" customBuiltin="1"/>
    <cellStyle name="Explanatory Text 2" xfId="134" xr:uid="{00000000-0005-0000-0000-000086000000}"/>
    <cellStyle name="Fixed" xfId="135" xr:uid="{00000000-0005-0000-0000-000087000000}"/>
    <cellStyle name="Fixed 2" xfId="136" xr:uid="{00000000-0005-0000-0000-000088000000}"/>
    <cellStyle name="Fixed 2 2" xfId="137" xr:uid="{00000000-0005-0000-0000-000089000000}"/>
    <cellStyle name="Fixed 3" xfId="138" xr:uid="{00000000-0005-0000-0000-00008A000000}"/>
    <cellStyle name="Good" xfId="139" builtinId="26" customBuiltin="1"/>
    <cellStyle name="Good 2" xfId="140" xr:uid="{00000000-0005-0000-0000-00008C000000}"/>
    <cellStyle name="Heading 1" xfId="141" builtinId="16" customBuiltin="1"/>
    <cellStyle name="Heading 1 2" xfId="142" xr:uid="{00000000-0005-0000-0000-00008E000000}"/>
    <cellStyle name="Heading 1 3" xfId="143" xr:uid="{00000000-0005-0000-0000-00008F000000}"/>
    <cellStyle name="Heading 1 3 2" xfId="144" xr:uid="{00000000-0005-0000-0000-000090000000}"/>
    <cellStyle name="Heading 2" xfId="145" builtinId="17" customBuiltin="1"/>
    <cellStyle name="Heading 2 2" xfId="146" xr:uid="{00000000-0005-0000-0000-000092000000}"/>
    <cellStyle name="Heading 2 3" xfId="147" xr:uid="{00000000-0005-0000-0000-000093000000}"/>
    <cellStyle name="Heading 2 3 2" xfId="148" xr:uid="{00000000-0005-0000-0000-000094000000}"/>
    <cellStyle name="Heading 3" xfId="149" builtinId="18" customBuiltin="1"/>
    <cellStyle name="Heading 3 2" xfId="150" xr:uid="{00000000-0005-0000-0000-000096000000}"/>
    <cellStyle name="Heading 4" xfId="151" builtinId="19" customBuiltin="1"/>
    <cellStyle name="Heading 4 2" xfId="152" xr:uid="{00000000-0005-0000-0000-000098000000}"/>
    <cellStyle name="Heading1" xfId="153" xr:uid="{00000000-0005-0000-0000-000099000000}"/>
    <cellStyle name="Heading2" xfId="154" xr:uid="{00000000-0005-0000-0000-00009A000000}"/>
    <cellStyle name="Input" xfId="155" builtinId="20" customBuiltin="1"/>
    <cellStyle name="Input 2" xfId="156" xr:uid="{00000000-0005-0000-0000-00009C000000}"/>
    <cellStyle name="Linked Cell" xfId="157" builtinId="24" customBuiltin="1"/>
    <cellStyle name="Linked Cell 2" xfId="158" xr:uid="{00000000-0005-0000-0000-00009E000000}"/>
    <cellStyle name="M" xfId="159" xr:uid="{00000000-0005-0000-0000-00009F000000}"/>
    <cellStyle name="M 2" xfId="160" xr:uid="{00000000-0005-0000-0000-0000A0000000}"/>
    <cellStyle name="M 2 2" xfId="161" xr:uid="{00000000-0005-0000-0000-0000A1000000}"/>
    <cellStyle name="M 2 2 2" xfId="162" xr:uid="{00000000-0005-0000-0000-0000A2000000}"/>
    <cellStyle name="M 3" xfId="163" xr:uid="{00000000-0005-0000-0000-0000A3000000}"/>
    <cellStyle name="M 3 2" xfId="164" xr:uid="{00000000-0005-0000-0000-0000A4000000}"/>
    <cellStyle name="M 3 2 2" xfId="165" xr:uid="{00000000-0005-0000-0000-0000A5000000}"/>
    <cellStyle name="M 4" xfId="166" xr:uid="{00000000-0005-0000-0000-0000A6000000}"/>
    <cellStyle name="M 5" xfId="167" xr:uid="{00000000-0005-0000-0000-0000A7000000}"/>
    <cellStyle name="M 5 2" xfId="168" xr:uid="{00000000-0005-0000-0000-0000A8000000}"/>
    <cellStyle name="M 6" xfId="169" xr:uid="{00000000-0005-0000-0000-0000A9000000}"/>
    <cellStyle name="M 6 2" xfId="170" xr:uid="{00000000-0005-0000-0000-0000AA000000}"/>
    <cellStyle name="M 7" xfId="171" xr:uid="{00000000-0005-0000-0000-0000AB000000}"/>
    <cellStyle name="Neutral" xfId="172" builtinId="28" customBuiltin="1"/>
    <cellStyle name="Neutral 2" xfId="173" xr:uid="{00000000-0005-0000-0000-0000AD000000}"/>
    <cellStyle name="Normal" xfId="0" builtinId="0"/>
    <cellStyle name="Normal 12" xfId="174" xr:uid="{00000000-0005-0000-0000-0000AF000000}"/>
    <cellStyle name="Normal 2" xfId="175" xr:uid="{00000000-0005-0000-0000-0000B0000000}"/>
    <cellStyle name="Normal 2 2" xfId="176" xr:uid="{00000000-0005-0000-0000-0000B1000000}"/>
    <cellStyle name="Normal 3" xfId="177" xr:uid="{00000000-0005-0000-0000-0000B2000000}"/>
    <cellStyle name="Normal 3 2" xfId="178" xr:uid="{00000000-0005-0000-0000-0000B3000000}"/>
    <cellStyle name="Normal 3 3" xfId="179" xr:uid="{00000000-0005-0000-0000-0000B4000000}"/>
    <cellStyle name="Normal 3_OPCo Period I PJM  Formula Rate" xfId="180" xr:uid="{00000000-0005-0000-0000-0000B5000000}"/>
    <cellStyle name="Normal 4" xfId="181" xr:uid="{00000000-0005-0000-0000-0000B6000000}"/>
    <cellStyle name="Normal 4 2" xfId="182" xr:uid="{00000000-0005-0000-0000-0000B7000000}"/>
    <cellStyle name="Normal 4 3" xfId="183" xr:uid="{00000000-0005-0000-0000-0000B8000000}"/>
    <cellStyle name="Normal 4 3 2" xfId="184" xr:uid="{00000000-0005-0000-0000-0000B9000000}"/>
    <cellStyle name="Normal 4 4" xfId="185" xr:uid="{00000000-0005-0000-0000-0000BA000000}"/>
    <cellStyle name="Normal 4 5" xfId="186" xr:uid="{00000000-0005-0000-0000-0000BB000000}"/>
    <cellStyle name="Normal 4 5 2" xfId="187" xr:uid="{00000000-0005-0000-0000-0000BC000000}"/>
    <cellStyle name="Normal 4 5 3" xfId="188" xr:uid="{00000000-0005-0000-0000-0000BD000000}"/>
    <cellStyle name="Normal 4_PBOP Exhibit 1" xfId="189" xr:uid="{00000000-0005-0000-0000-0000BE000000}"/>
    <cellStyle name="Normal 5" xfId="190" xr:uid="{00000000-0005-0000-0000-0000BF000000}"/>
    <cellStyle name="Normal_FN1 Ratebase Draft SPP template (6-11-04) v2" xfId="191" xr:uid="{00000000-0005-0000-0000-0000C0000000}"/>
    <cellStyle name="Note" xfId="192" builtinId="10" customBuiltin="1"/>
    <cellStyle name="Note 2" xfId="193" xr:uid="{00000000-0005-0000-0000-0000C2000000}"/>
    <cellStyle name="Output" xfId="194" builtinId="21" customBuiltin="1"/>
    <cellStyle name="Output 2" xfId="195" xr:uid="{00000000-0005-0000-0000-0000C4000000}"/>
    <cellStyle name="Percent" xfId="196" builtinId="5"/>
    <cellStyle name="Percent 2" xfId="197" xr:uid="{00000000-0005-0000-0000-0000C6000000}"/>
    <cellStyle name="Percent 2 2" xfId="198" xr:uid="{00000000-0005-0000-0000-0000C7000000}"/>
    <cellStyle name="Percent 2 2 2" xfId="199" xr:uid="{00000000-0005-0000-0000-0000C8000000}"/>
    <cellStyle name="Percent 3" xfId="200" xr:uid="{00000000-0005-0000-0000-0000C9000000}"/>
    <cellStyle name="Percent 3 2" xfId="201" xr:uid="{00000000-0005-0000-0000-0000CA000000}"/>
    <cellStyle name="Percent 3 3" xfId="202" xr:uid="{00000000-0005-0000-0000-0000CB000000}"/>
    <cellStyle name="Percent 3 3 2" xfId="203" xr:uid="{00000000-0005-0000-0000-0000CC000000}"/>
    <cellStyle name="Percent 3 4" xfId="204" xr:uid="{00000000-0005-0000-0000-0000CD000000}"/>
    <cellStyle name="Percent 3 5" xfId="205" xr:uid="{00000000-0005-0000-0000-0000CE000000}"/>
    <cellStyle name="Percent 4" xfId="206" xr:uid="{00000000-0005-0000-0000-0000CF000000}"/>
    <cellStyle name="Percent 4 2" xfId="207" xr:uid="{00000000-0005-0000-0000-0000D0000000}"/>
    <cellStyle name="Percent 4 3" xfId="208" xr:uid="{00000000-0005-0000-0000-0000D1000000}"/>
    <cellStyle name="Percent 5" xfId="209" xr:uid="{00000000-0005-0000-0000-0000D2000000}"/>
    <cellStyle name="Percent 5 2" xfId="210" xr:uid="{00000000-0005-0000-0000-0000D3000000}"/>
    <cellStyle name="Percent 5 3" xfId="211" xr:uid="{00000000-0005-0000-0000-0000D4000000}"/>
    <cellStyle name="Percent 6" xfId="212" xr:uid="{00000000-0005-0000-0000-0000D5000000}"/>
    <cellStyle name="Percent 7" xfId="213" xr:uid="{00000000-0005-0000-0000-0000D6000000}"/>
    <cellStyle name="PSChar" xfId="214" xr:uid="{00000000-0005-0000-0000-0000D7000000}"/>
    <cellStyle name="PSChar 2" xfId="215" xr:uid="{00000000-0005-0000-0000-0000D8000000}"/>
    <cellStyle name="PSChar 2 2" xfId="216" xr:uid="{00000000-0005-0000-0000-0000D9000000}"/>
    <cellStyle name="PSDate" xfId="217" xr:uid="{00000000-0005-0000-0000-0000DA000000}"/>
    <cellStyle name="PSDec" xfId="218" xr:uid="{00000000-0005-0000-0000-0000DB000000}"/>
    <cellStyle name="PSdesc" xfId="219" xr:uid="{00000000-0005-0000-0000-0000DC000000}"/>
    <cellStyle name="PSHeading" xfId="220" xr:uid="{00000000-0005-0000-0000-0000DD000000}"/>
    <cellStyle name="PSInt" xfId="221" xr:uid="{00000000-0005-0000-0000-0000DE000000}"/>
    <cellStyle name="PSSpacer" xfId="222" xr:uid="{00000000-0005-0000-0000-0000DF000000}"/>
    <cellStyle name="PStest" xfId="223" xr:uid="{00000000-0005-0000-0000-0000E0000000}"/>
    <cellStyle name="R00A" xfId="224" xr:uid="{00000000-0005-0000-0000-0000E1000000}"/>
    <cellStyle name="R00B" xfId="225" xr:uid="{00000000-0005-0000-0000-0000E2000000}"/>
    <cellStyle name="R00L" xfId="226" xr:uid="{00000000-0005-0000-0000-0000E3000000}"/>
    <cellStyle name="R01A" xfId="227" xr:uid="{00000000-0005-0000-0000-0000E4000000}"/>
    <cellStyle name="R01B" xfId="228" xr:uid="{00000000-0005-0000-0000-0000E5000000}"/>
    <cellStyle name="R01H" xfId="229" xr:uid="{00000000-0005-0000-0000-0000E6000000}"/>
    <cellStyle name="R01L" xfId="230" xr:uid="{00000000-0005-0000-0000-0000E7000000}"/>
    <cellStyle name="R02A" xfId="231" xr:uid="{00000000-0005-0000-0000-0000E8000000}"/>
    <cellStyle name="R02B" xfId="232" xr:uid="{00000000-0005-0000-0000-0000E9000000}"/>
    <cellStyle name="R02H" xfId="233" xr:uid="{00000000-0005-0000-0000-0000EA000000}"/>
    <cellStyle name="R02L" xfId="234" xr:uid="{00000000-0005-0000-0000-0000EB000000}"/>
    <cellStyle name="R03A" xfId="235" xr:uid="{00000000-0005-0000-0000-0000EC000000}"/>
    <cellStyle name="R03B" xfId="236" xr:uid="{00000000-0005-0000-0000-0000ED000000}"/>
    <cellStyle name="R03H" xfId="237" xr:uid="{00000000-0005-0000-0000-0000EE000000}"/>
    <cellStyle name="R03L" xfId="238" xr:uid="{00000000-0005-0000-0000-0000EF000000}"/>
    <cellStyle name="R04A" xfId="239" xr:uid="{00000000-0005-0000-0000-0000F0000000}"/>
    <cellStyle name="R04B" xfId="240" xr:uid="{00000000-0005-0000-0000-0000F1000000}"/>
    <cellStyle name="R04H" xfId="241" xr:uid="{00000000-0005-0000-0000-0000F2000000}"/>
    <cellStyle name="R04L" xfId="242" xr:uid="{00000000-0005-0000-0000-0000F3000000}"/>
    <cellStyle name="R05A" xfId="243" xr:uid="{00000000-0005-0000-0000-0000F4000000}"/>
    <cellStyle name="R05B" xfId="244" xr:uid="{00000000-0005-0000-0000-0000F5000000}"/>
    <cellStyle name="R05H" xfId="245" xr:uid="{00000000-0005-0000-0000-0000F6000000}"/>
    <cellStyle name="R05L" xfId="246" xr:uid="{00000000-0005-0000-0000-0000F7000000}"/>
    <cellStyle name="R06A" xfId="247" xr:uid="{00000000-0005-0000-0000-0000F8000000}"/>
    <cellStyle name="R06B" xfId="248" xr:uid="{00000000-0005-0000-0000-0000F9000000}"/>
    <cellStyle name="R06H" xfId="249" xr:uid="{00000000-0005-0000-0000-0000FA000000}"/>
    <cellStyle name="R06L" xfId="250" xr:uid="{00000000-0005-0000-0000-0000FB000000}"/>
    <cellStyle name="R07A" xfId="251" xr:uid="{00000000-0005-0000-0000-0000FC000000}"/>
    <cellStyle name="R07B" xfId="252" xr:uid="{00000000-0005-0000-0000-0000FD000000}"/>
    <cellStyle name="R07H" xfId="253" xr:uid="{00000000-0005-0000-0000-0000FE000000}"/>
    <cellStyle name="R07L" xfId="254" xr:uid="{00000000-0005-0000-0000-0000FF000000}"/>
    <cellStyle name="Title" xfId="255" builtinId="15" customBuiltin="1"/>
    <cellStyle name="Title 2" xfId="256" xr:uid="{00000000-0005-0000-0000-000001010000}"/>
    <cellStyle name="Total" xfId="257" builtinId="25" customBuiltin="1"/>
    <cellStyle name="Total 2" xfId="258" xr:uid="{00000000-0005-0000-0000-000003010000}"/>
    <cellStyle name="Total 3" xfId="259" xr:uid="{00000000-0005-0000-0000-000004010000}"/>
    <cellStyle name="Total 3 2" xfId="260" xr:uid="{00000000-0005-0000-0000-000005010000}"/>
    <cellStyle name="Warning Text" xfId="261" builtinId="11" customBuiltin="1"/>
    <cellStyle name="Warning Text 2" xfId="262" xr:uid="{00000000-0005-0000-0000-000007010000}"/>
  </cellStyles>
  <dxfs count="54">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
      <font>
        <b/>
        <i val="0"/>
        <condense val="0"/>
        <extend val="0"/>
      </font>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5.xml"/><Relationship Id="rId21" Type="http://schemas.openxmlformats.org/officeDocument/2006/relationships/worksheet" Target="worksheets/sheet21.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38"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editAs="oneCell">
    <xdr:from>
      <xdr:col>4</xdr:col>
      <xdr:colOff>428625</xdr:colOff>
      <xdr:row>28</xdr:row>
      <xdr:rowOff>114300</xdr:rowOff>
    </xdr:from>
    <xdr:to>
      <xdr:col>4</xdr:col>
      <xdr:colOff>501650</xdr:colOff>
      <xdr:row>29</xdr:row>
      <xdr:rowOff>152400</xdr:rowOff>
    </xdr:to>
    <xdr:sp macro="" textlink="">
      <xdr:nvSpPr>
        <xdr:cNvPr id="1554" name="Text Box 1">
          <a:extLst>
            <a:ext uri="{FF2B5EF4-FFF2-40B4-BE49-F238E27FC236}">
              <a16:creationId xmlns:a16="http://schemas.microsoft.com/office/drawing/2014/main" id="{00000000-0008-0000-0100-000012060000}"/>
            </a:ext>
          </a:extLst>
        </xdr:cNvPr>
        <xdr:cNvSpPr txBox="1">
          <a:spLocks noChangeArrowheads="1"/>
        </xdr:cNvSpPr>
      </xdr:nvSpPr>
      <xdr:spPr bwMode="auto">
        <a:xfrm>
          <a:off x="4152900" y="5448300"/>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0</xdr:row>
      <xdr:rowOff>234950</xdr:rowOff>
    </xdr:to>
    <xdr:sp macro="" textlink="">
      <xdr:nvSpPr>
        <xdr:cNvPr id="22936" name="Text Box 1">
          <a:extLst>
            <a:ext uri="{FF2B5EF4-FFF2-40B4-BE49-F238E27FC236}">
              <a16:creationId xmlns:a16="http://schemas.microsoft.com/office/drawing/2014/main" id="{00000000-0008-0000-0B00-00009859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1912" name="Text Box 1">
          <a:extLst>
            <a:ext uri="{FF2B5EF4-FFF2-40B4-BE49-F238E27FC236}">
              <a16:creationId xmlns:a16="http://schemas.microsoft.com/office/drawing/2014/main" id="{00000000-0008-0000-0C00-00009855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3960" name="Text Box 1">
          <a:extLst>
            <a:ext uri="{FF2B5EF4-FFF2-40B4-BE49-F238E27FC236}">
              <a16:creationId xmlns:a16="http://schemas.microsoft.com/office/drawing/2014/main" id="{00000000-0008-0000-0D00-0000985D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0</xdr:row>
      <xdr:rowOff>234950</xdr:rowOff>
    </xdr:to>
    <xdr:sp macro="" textlink="">
      <xdr:nvSpPr>
        <xdr:cNvPr id="24984" name="Text Box 1">
          <a:extLst>
            <a:ext uri="{FF2B5EF4-FFF2-40B4-BE49-F238E27FC236}">
              <a16:creationId xmlns:a16="http://schemas.microsoft.com/office/drawing/2014/main" id="{00000000-0008-0000-0E00-00009861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5996" name="Text Box 1">
          <a:extLst>
            <a:ext uri="{FF2B5EF4-FFF2-40B4-BE49-F238E27FC236}">
              <a16:creationId xmlns:a16="http://schemas.microsoft.com/office/drawing/2014/main" id="{00000000-0008-0000-0F00-00008C65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26977" name="Text Box 1">
          <a:extLst>
            <a:ext uri="{FF2B5EF4-FFF2-40B4-BE49-F238E27FC236}">
              <a16:creationId xmlns:a16="http://schemas.microsoft.com/office/drawing/2014/main" id="{00000000-0008-0000-1000-00006169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504825</xdr:colOff>
      <xdr:row>0</xdr:row>
      <xdr:rowOff>209550</xdr:rowOff>
    </xdr:to>
    <xdr:sp macro="" textlink="">
      <xdr:nvSpPr>
        <xdr:cNvPr id="28966" name="Text Box 1">
          <a:extLst>
            <a:ext uri="{FF2B5EF4-FFF2-40B4-BE49-F238E27FC236}">
              <a16:creationId xmlns:a16="http://schemas.microsoft.com/office/drawing/2014/main" id="{00000000-0008-0000-1100-00002671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31998" name="Text Box 1">
          <a:extLst>
            <a:ext uri="{FF2B5EF4-FFF2-40B4-BE49-F238E27FC236}">
              <a16:creationId xmlns:a16="http://schemas.microsoft.com/office/drawing/2014/main" id="{00000000-0008-0000-1200-0000FE7C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33022" name="Text Box 1">
          <a:extLst>
            <a:ext uri="{FF2B5EF4-FFF2-40B4-BE49-F238E27FC236}">
              <a16:creationId xmlns:a16="http://schemas.microsoft.com/office/drawing/2014/main" id="{00000000-0008-0000-1300-0000FE80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1</xdr:row>
      <xdr:rowOff>0</xdr:rowOff>
    </xdr:to>
    <xdr:sp macro="" textlink="">
      <xdr:nvSpPr>
        <xdr:cNvPr id="35909" name="Text Box 1">
          <a:extLst>
            <a:ext uri="{FF2B5EF4-FFF2-40B4-BE49-F238E27FC236}">
              <a16:creationId xmlns:a16="http://schemas.microsoft.com/office/drawing/2014/main" id="{00000000-0008-0000-1500-0000458C0000}"/>
            </a:ext>
          </a:extLst>
        </xdr:cNvPr>
        <xdr:cNvSpPr txBox="1">
          <a:spLocks noChangeArrowheads="1"/>
        </xdr:cNvSpPr>
      </xdr:nvSpPr>
      <xdr:spPr bwMode="auto">
        <a:xfrm>
          <a:off x="3905250" y="0"/>
          <a:ext cx="11430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520700</xdr:colOff>
      <xdr:row>0</xdr:row>
      <xdr:rowOff>215900</xdr:rowOff>
    </xdr:to>
    <xdr:sp macro="" textlink="">
      <xdr:nvSpPr>
        <xdr:cNvPr id="2597" name="Text Box 1">
          <a:extLst>
            <a:ext uri="{FF2B5EF4-FFF2-40B4-BE49-F238E27FC236}">
              <a16:creationId xmlns:a16="http://schemas.microsoft.com/office/drawing/2014/main" id="{00000000-0008-0000-0300-0000250A0000}"/>
            </a:ext>
          </a:extLst>
        </xdr:cNvPr>
        <xdr:cNvSpPr txBox="1">
          <a:spLocks noChangeArrowheads="1"/>
        </xdr:cNvSpPr>
      </xdr:nvSpPr>
      <xdr:spPr bwMode="auto">
        <a:xfrm>
          <a:off x="3914775" y="0"/>
          <a:ext cx="1047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1</xdr:row>
      <xdr:rowOff>76200</xdr:rowOff>
    </xdr:to>
    <xdr:sp macro="" textlink="">
      <xdr:nvSpPr>
        <xdr:cNvPr id="36881" name="Text Box 1">
          <a:extLst>
            <a:ext uri="{FF2B5EF4-FFF2-40B4-BE49-F238E27FC236}">
              <a16:creationId xmlns:a16="http://schemas.microsoft.com/office/drawing/2014/main" id="{00000000-0008-0000-1400-000011900000}"/>
            </a:ext>
          </a:extLst>
        </xdr:cNvPr>
        <xdr:cNvSpPr txBox="1">
          <a:spLocks noChangeArrowheads="1"/>
        </xdr:cNvSpPr>
      </xdr:nvSpPr>
      <xdr:spPr bwMode="auto">
        <a:xfrm>
          <a:off x="3905250" y="0"/>
          <a:ext cx="114300" cy="333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2</xdr:row>
      <xdr:rowOff>6350</xdr:rowOff>
    </xdr:to>
    <xdr:sp macro="" textlink="">
      <xdr:nvSpPr>
        <xdr:cNvPr id="2" name="Text Box 1">
          <a:extLst>
            <a:ext uri="{FF2B5EF4-FFF2-40B4-BE49-F238E27FC236}">
              <a16:creationId xmlns:a16="http://schemas.microsoft.com/office/drawing/2014/main" id="{00000000-0008-0000-1600-000002000000}"/>
            </a:ext>
          </a:extLst>
        </xdr:cNvPr>
        <xdr:cNvSpPr txBox="1">
          <a:spLocks noChangeArrowheads="1"/>
        </xdr:cNvSpPr>
      </xdr:nvSpPr>
      <xdr:spPr bwMode="auto">
        <a:xfrm>
          <a:off x="4073525" y="0"/>
          <a:ext cx="114300" cy="3302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3</xdr:row>
      <xdr:rowOff>19050</xdr:rowOff>
    </xdr:to>
    <xdr:sp macro="" textlink="">
      <xdr:nvSpPr>
        <xdr:cNvPr id="2" name="Text Box 1">
          <a:extLst>
            <a:ext uri="{FF2B5EF4-FFF2-40B4-BE49-F238E27FC236}">
              <a16:creationId xmlns:a16="http://schemas.microsoft.com/office/drawing/2014/main" id="{7B712F1A-F423-43FB-AA43-21B05F47955E}"/>
            </a:ext>
          </a:extLst>
        </xdr:cNvPr>
        <xdr:cNvSpPr txBox="1">
          <a:spLocks noChangeArrowheads="1"/>
        </xdr:cNvSpPr>
      </xdr:nvSpPr>
      <xdr:spPr bwMode="auto">
        <a:xfrm>
          <a:off x="3917950" y="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3</xdr:row>
      <xdr:rowOff>19050</xdr:rowOff>
    </xdr:to>
    <xdr:sp macro="" textlink="">
      <xdr:nvSpPr>
        <xdr:cNvPr id="2" name="Text Box 1">
          <a:extLst>
            <a:ext uri="{FF2B5EF4-FFF2-40B4-BE49-F238E27FC236}">
              <a16:creationId xmlns:a16="http://schemas.microsoft.com/office/drawing/2014/main" id="{9CACF9E7-5526-4CA3-90DE-FB5E97F227F8}"/>
            </a:ext>
          </a:extLst>
        </xdr:cNvPr>
        <xdr:cNvSpPr txBox="1">
          <a:spLocks noChangeArrowheads="1"/>
        </xdr:cNvSpPr>
      </xdr:nvSpPr>
      <xdr:spPr bwMode="auto">
        <a:xfrm>
          <a:off x="3917950" y="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3</xdr:row>
      <xdr:rowOff>19050</xdr:rowOff>
    </xdr:to>
    <xdr:sp macro="" textlink="">
      <xdr:nvSpPr>
        <xdr:cNvPr id="2" name="Text Box 1">
          <a:extLst>
            <a:ext uri="{FF2B5EF4-FFF2-40B4-BE49-F238E27FC236}">
              <a16:creationId xmlns:a16="http://schemas.microsoft.com/office/drawing/2014/main" id="{DF6B8BD0-3D8F-4AD4-B50D-A1B9C879D152}"/>
            </a:ext>
          </a:extLst>
        </xdr:cNvPr>
        <xdr:cNvSpPr txBox="1">
          <a:spLocks noChangeArrowheads="1"/>
        </xdr:cNvSpPr>
      </xdr:nvSpPr>
      <xdr:spPr bwMode="auto">
        <a:xfrm>
          <a:off x="3917950" y="0"/>
          <a:ext cx="114300" cy="5048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3</xdr:row>
      <xdr:rowOff>19050</xdr:rowOff>
    </xdr:to>
    <xdr:sp macro="" textlink="">
      <xdr:nvSpPr>
        <xdr:cNvPr id="2" name="Text Box 1">
          <a:extLst>
            <a:ext uri="{FF2B5EF4-FFF2-40B4-BE49-F238E27FC236}">
              <a16:creationId xmlns:a16="http://schemas.microsoft.com/office/drawing/2014/main" id="{20B79BDF-6FFE-444C-B43A-48F7952EE9FA}"/>
            </a:ext>
          </a:extLst>
        </xdr:cNvPr>
        <xdr:cNvSpPr txBox="1">
          <a:spLocks noChangeArrowheads="1"/>
        </xdr:cNvSpPr>
      </xdr:nvSpPr>
      <xdr:spPr bwMode="auto">
        <a:xfrm>
          <a:off x="4073525" y="0"/>
          <a:ext cx="1143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3</xdr:row>
      <xdr:rowOff>19050</xdr:rowOff>
    </xdr:to>
    <xdr:sp macro="" textlink="">
      <xdr:nvSpPr>
        <xdr:cNvPr id="2" name="Text Box 1">
          <a:extLst>
            <a:ext uri="{FF2B5EF4-FFF2-40B4-BE49-F238E27FC236}">
              <a16:creationId xmlns:a16="http://schemas.microsoft.com/office/drawing/2014/main" id="{3892C112-4FAF-439B-A7D1-3BE2120EF797}"/>
            </a:ext>
          </a:extLst>
        </xdr:cNvPr>
        <xdr:cNvSpPr txBox="1">
          <a:spLocks noChangeArrowheads="1"/>
        </xdr:cNvSpPr>
      </xdr:nvSpPr>
      <xdr:spPr bwMode="auto">
        <a:xfrm>
          <a:off x="4073525" y="0"/>
          <a:ext cx="117475"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3</xdr:row>
      <xdr:rowOff>19050</xdr:rowOff>
    </xdr:to>
    <xdr:sp macro="" textlink="">
      <xdr:nvSpPr>
        <xdr:cNvPr id="2" name="Text Box 1">
          <a:extLst>
            <a:ext uri="{FF2B5EF4-FFF2-40B4-BE49-F238E27FC236}">
              <a16:creationId xmlns:a16="http://schemas.microsoft.com/office/drawing/2014/main" id="{B84FF07E-6EFB-4A25-BE30-B50B423C9CAB}"/>
            </a:ext>
          </a:extLst>
        </xdr:cNvPr>
        <xdr:cNvSpPr txBox="1">
          <a:spLocks noChangeArrowheads="1"/>
        </xdr:cNvSpPr>
      </xdr:nvSpPr>
      <xdr:spPr bwMode="auto">
        <a:xfrm>
          <a:off x="4073525" y="0"/>
          <a:ext cx="114300" cy="723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12784" name="Text Box 1">
          <a:extLst>
            <a:ext uri="{FF2B5EF4-FFF2-40B4-BE49-F238E27FC236}">
              <a16:creationId xmlns:a16="http://schemas.microsoft.com/office/drawing/2014/main" id="{00000000-0008-0000-1700-0000F031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501650</xdr:colOff>
      <xdr:row>0</xdr:row>
      <xdr:rowOff>209550</xdr:rowOff>
    </xdr:to>
    <xdr:sp macro="" textlink="">
      <xdr:nvSpPr>
        <xdr:cNvPr id="3568" name="Text Box 1">
          <a:extLst>
            <a:ext uri="{FF2B5EF4-FFF2-40B4-BE49-F238E27FC236}">
              <a16:creationId xmlns:a16="http://schemas.microsoft.com/office/drawing/2014/main" id="{00000000-0008-0000-0400-0000F00D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501650</xdr:colOff>
      <xdr:row>0</xdr:row>
      <xdr:rowOff>209550</xdr:rowOff>
    </xdr:to>
    <xdr:sp macro="" textlink="">
      <xdr:nvSpPr>
        <xdr:cNvPr id="15856" name="Text Box 1">
          <a:extLst>
            <a:ext uri="{FF2B5EF4-FFF2-40B4-BE49-F238E27FC236}">
              <a16:creationId xmlns:a16="http://schemas.microsoft.com/office/drawing/2014/main" id="{00000000-0008-0000-0500-0000F03D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504825</xdr:colOff>
      <xdr:row>0</xdr:row>
      <xdr:rowOff>209550</xdr:rowOff>
    </xdr:to>
    <xdr:sp macro="" textlink="">
      <xdr:nvSpPr>
        <xdr:cNvPr id="16881" name="Text Box 1">
          <a:extLst>
            <a:ext uri="{FF2B5EF4-FFF2-40B4-BE49-F238E27FC236}">
              <a16:creationId xmlns:a16="http://schemas.microsoft.com/office/drawing/2014/main" id="{00000000-0008-0000-0600-0000F141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504825</xdr:colOff>
      <xdr:row>0</xdr:row>
      <xdr:rowOff>209550</xdr:rowOff>
    </xdr:to>
    <xdr:sp macro="" textlink="">
      <xdr:nvSpPr>
        <xdr:cNvPr id="17904" name="Text Box 1">
          <a:extLst>
            <a:ext uri="{FF2B5EF4-FFF2-40B4-BE49-F238E27FC236}">
              <a16:creationId xmlns:a16="http://schemas.microsoft.com/office/drawing/2014/main" id="{00000000-0008-0000-0700-0000F045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419100</xdr:colOff>
      <xdr:row>0</xdr:row>
      <xdr:rowOff>0</xdr:rowOff>
    </xdr:from>
    <xdr:to>
      <xdr:col>4</xdr:col>
      <xdr:colOff>501650</xdr:colOff>
      <xdr:row>0</xdr:row>
      <xdr:rowOff>209550</xdr:rowOff>
    </xdr:to>
    <xdr:sp macro="" textlink="">
      <xdr:nvSpPr>
        <xdr:cNvPr id="18929" name="Text Box 1">
          <a:extLst>
            <a:ext uri="{FF2B5EF4-FFF2-40B4-BE49-F238E27FC236}">
              <a16:creationId xmlns:a16="http://schemas.microsoft.com/office/drawing/2014/main" id="{00000000-0008-0000-0800-0000F1490000}"/>
            </a:ext>
          </a:extLst>
        </xdr:cNvPr>
        <xdr:cNvSpPr txBox="1">
          <a:spLocks noChangeArrowheads="1"/>
        </xdr:cNvSpPr>
      </xdr:nvSpPr>
      <xdr:spPr bwMode="auto">
        <a:xfrm>
          <a:off x="3914775" y="0"/>
          <a:ext cx="85725"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523875</xdr:colOff>
      <xdr:row>0</xdr:row>
      <xdr:rowOff>238125</xdr:rowOff>
    </xdr:to>
    <xdr:sp macro="" textlink="">
      <xdr:nvSpPr>
        <xdr:cNvPr id="19898" name="Text Box 1">
          <a:extLst>
            <a:ext uri="{FF2B5EF4-FFF2-40B4-BE49-F238E27FC236}">
              <a16:creationId xmlns:a16="http://schemas.microsoft.com/office/drawing/2014/main" id="{00000000-0008-0000-0900-0000BA4D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409575</xdr:colOff>
      <xdr:row>0</xdr:row>
      <xdr:rowOff>0</xdr:rowOff>
    </xdr:from>
    <xdr:to>
      <xdr:col>4</xdr:col>
      <xdr:colOff>520700</xdr:colOff>
      <xdr:row>0</xdr:row>
      <xdr:rowOff>234950</xdr:rowOff>
    </xdr:to>
    <xdr:sp macro="" textlink="">
      <xdr:nvSpPr>
        <xdr:cNvPr id="20920" name="Text Box 1">
          <a:extLst>
            <a:ext uri="{FF2B5EF4-FFF2-40B4-BE49-F238E27FC236}">
              <a16:creationId xmlns:a16="http://schemas.microsoft.com/office/drawing/2014/main" id="{00000000-0008-0000-0A00-0000B8510000}"/>
            </a:ext>
          </a:extLst>
        </xdr:cNvPr>
        <xdr:cNvSpPr txBox="1">
          <a:spLocks noChangeArrowheads="1"/>
        </xdr:cNvSpPr>
      </xdr:nvSpPr>
      <xdr:spPr bwMode="auto">
        <a:xfrm>
          <a:off x="3905250" y="0"/>
          <a:ext cx="114300" cy="2381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W82"/>
  <sheetViews>
    <sheetView tabSelected="1" topLeftCell="C14" zoomScale="70" zoomScaleNormal="70" zoomScaleSheetLayoutView="80" workbookViewId="0">
      <selection activeCell="U23" sqref="U23"/>
    </sheetView>
  </sheetViews>
  <sheetFormatPr defaultColWidth="8.7109375" defaultRowHeight="12.75" customHeight="1"/>
  <cols>
    <col min="1" max="1" width="9.85546875" customWidth="1"/>
    <col min="2" max="2" width="7" bestFit="1" customWidth="1"/>
    <col min="3" max="3" width="43.140625" customWidth="1"/>
    <col min="4" max="4" width="9" customWidth="1"/>
    <col min="5" max="5" width="15.7109375" customWidth="1"/>
    <col min="6" max="6" width="13.85546875" customWidth="1"/>
    <col min="7" max="7" width="14.28515625" customWidth="1"/>
    <col min="8" max="8" width="2.85546875" customWidth="1"/>
    <col min="9" max="9" width="13.7109375" customWidth="1"/>
    <col min="10" max="10" width="13.28515625" customWidth="1"/>
    <col min="11" max="11" width="13.85546875" bestFit="1" customWidth="1"/>
    <col min="12" max="12" width="16.42578125" customWidth="1"/>
    <col min="13" max="13" width="2.42578125" customWidth="1"/>
    <col min="14" max="14" width="6.140625" customWidth="1"/>
    <col min="15" max="15" width="7.7109375" customWidth="1"/>
    <col min="16" max="16" width="10.7109375" customWidth="1"/>
    <col min="17" max="17" width="11.140625" bestFit="1" customWidth="1"/>
    <col min="18" max="18" width="18.7109375" customWidth="1"/>
    <col min="19" max="19" width="2.42578125" customWidth="1"/>
    <col min="20" max="20" width="14.28515625" customWidth="1"/>
    <col min="21" max="21" width="11.140625" bestFit="1" customWidth="1"/>
    <col min="22" max="22" width="18" customWidth="1"/>
  </cols>
  <sheetData>
    <row r="1" spans="1:23" ht="15">
      <c r="H1" s="127" t="s">
        <v>136</v>
      </c>
      <c r="U1">
        <v>2025</v>
      </c>
    </row>
    <row r="2" spans="1:23" ht="15">
      <c r="H2" s="128" t="s">
        <v>159</v>
      </c>
    </row>
    <row r="3" spans="1:23" ht="15">
      <c r="H3" s="127" t="str">
        <f>"For Calendar Year "&amp;U1&amp;" and Projected Year "&amp;U1</f>
        <v>For Calendar Year 2025 and Projected Year 2025</v>
      </c>
    </row>
    <row r="4" spans="1:23" ht="15">
      <c r="H4" s="129"/>
    </row>
    <row r="5" spans="1:23" ht="15.75">
      <c r="H5" s="130" t="s">
        <v>137</v>
      </c>
    </row>
    <row r="7" spans="1:23" ht="18">
      <c r="C7" s="131"/>
      <c r="E7" s="131"/>
      <c r="F7" s="131"/>
      <c r="G7" s="131"/>
      <c r="H7" s="131" t="s">
        <v>188</v>
      </c>
      <c r="I7" s="131"/>
      <c r="J7" s="131"/>
      <c r="K7" s="131"/>
      <c r="L7" s="131"/>
    </row>
    <row r="8" spans="1:23"/>
    <row r="9" spans="1:23">
      <c r="A9" t="str">
        <f>"Note: Some project's final trued-up cost may not meet SPP's $100,000 threshold for socialization.  In that case a true-up of the pirior year ARR will be made in columns "&amp;I12&amp;" through "&amp;Q12&amp;", but no projected ARR will be shown in columns "&amp;E12&amp;" through "&amp;LEFT(G12,3)&amp;" for the current year."</f>
        <v>Note: Some project's final trued-up cost may not meet SPP's $100,000 threshold for socialization.  In that case a true-up of the pirior year ARR will be made in columns (H) through (O), but no projected ARR will be shown in columns (E) through (G) for the current year.</v>
      </c>
    </row>
    <row r="12" spans="1:23" ht="22.5" customHeight="1">
      <c r="A12" s="132" t="s">
        <v>138</v>
      </c>
      <c r="B12" s="132" t="s">
        <v>139</v>
      </c>
      <c r="C12" s="133" t="s">
        <v>140</v>
      </c>
      <c r="D12" s="132" t="s">
        <v>141</v>
      </c>
      <c r="E12" s="132" t="s">
        <v>142</v>
      </c>
      <c r="F12" s="132" t="s">
        <v>143</v>
      </c>
      <c r="G12" s="132" t="str">
        <f>"(G) = "&amp;E12&amp;" + "&amp;F12</f>
        <v>(G) = (E) + (F)</v>
      </c>
      <c r="H12" s="132"/>
      <c r="I12" s="132" t="s">
        <v>144</v>
      </c>
      <c r="J12" s="132" t="s">
        <v>145</v>
      </c>
      <c r="K12" s="134" t="s">
        <v>167</v>
      </c>
      <c r="L12" s="132" t="str">
        <f>"(K) = "&amp;J12&amp;" - "&amp;K12</f>
        <v>(K) = (I) - (J)</v>
      </c>
      <c r="M12" s="132"/>
      <c r="N12" s="132" t="s">
        <v>168</v>
      </c>
      <c r="O12" s="132" t="s">
        <v>146</v>
      </c>
      <c r="P12" s="132" t="str">
        <f>"(N) = "&amp;N12&amp;"-"&amp;O12</f>
        <v>(N) = (L)-(M)</v>
      </c>
      <c r="Q12" s="132" t="s">
        <v>169</v>
      </c>
      <c r="R12" s="132" t="str">
        <f>"(P) = "&amp;I12&amp;"+"&amp;LEFT(L12,3)&amp;"+"&amp;LEFT(P12,3)&amp;"+"&amp;Q12</f>
        <v>(P) = (H)+(K)+(N)+(O)</v>
      </c>
      <c r="S12" s="132"/>
      <c r="T12" s="132" t="str">
        <f>"(Q) = "&amp;LEFT(G12,3)&amp;" + "&amp;LEFT(R12,3)</f>
        <v>(Q) = (G) + (P)</v>
      </c>
      <c r="U12" s="132"/>
      <c r="V12" s="135"/>
      <c r="W12" s="135"/>
    </row>
    <row r="13" spans="1:23" ht="16.5" customHeight="1">
      <c r="A13" s="136"/>
      <c r="B13" s="136"/>
      <c r="C13" s="136"/>
      <c r="D13" s="136"/>
      <c r="E13" s="538" t="str">
        <f>"Projected ARR For "&amp;U1&amp;" From WS-F"</f>
        <v>Projected ARR For 2025 From WS-F</v>
      </c>
      <c r="F13" s="538"/>
      <c r="G13" s="538"/>
      <c r="H13" s="136"/>
      <c r="I13" s="137" t="str">
        <f>"True-Up ARR CY"&amp;U1&amp;" From Worksheet G  (includes adjustment for SPP Collections)"</f>
        <v>True-Up ARR CY2025 From Worksheet G  (includes adjustment for SPP Collections)</v>
      </c>
      <c r="J13" s="137"/>
      <c r="K13" s="137"/>
      <c r="L13" s="137"/>
      <c r="M13" s="137"/>
      <c r="N13" s="137"/>
      <c r="O13" s="137"/>
      <c r="P13" s="137"/>
      <c r="Q13" s="137"/>
      <c r="R13" s="138"/>
      <c r="S13" s="136"/>
      <c r="T13" s="136"/>
      <c r="U13" s="136"/>
    </row>
    <row r="14" spans="1:23" ht="18" customHeight="1">
      <c r="G14" s="139"/>
      <c r="T14" s="539" t="str">
        <f>"Total ADJUSTED Revenue Requirement Effective
1/1/"&amp;U1&amp;""</f>
        <v>Total ADJUSTED Revenue Requirement Effective
1/1/2025</v>
      </c>
    </row>
    <row r="15" spans="1:23" ht="18" customHeight="1" thickBot="1">
      <c r="D15" s="136"/>
      <c r="E15" s="33"/>
      <c r="F15" s="33"/>
      <c r="G15" s="33"/>
      <c r="I15" s="137" t="s">
        <v>147</v>
      </c>
      <c r="J15" s="140"/>
      <c r="K15" s="140"/>
      <c r="L15" s="140"/>
      <c r="M15" s="141"/>
      <c r="N15" s="137" t="s">
        <v>166</v>
      </c>
      <c r="O15" s="142"/>
      <c r="P15" s="142"/>
      <c r="Q15" s="143"/>
      <c r="T15" s="539"/>
    </row>
    <row r="16" spans="1:23" ht="72.75" customHeight="1">
      <c r="A16" s="144" t="s">
        <v>156</v>
      </c>
      <c r="B16" s="145" t="s">
        <v>148</v>
      </c>
      <c r="C16" s="145" t="s">
        <v>116</v>
      </c>
      <c r="D16" s="144" t="s">
        <v>149</v>
      </c>
      <c r="E16" s="146" t="s">
        <v>164</v>
      </c>
      <c r="F16" s="145" t="s">
        <v>150</v>
      </c>
      <c r="G16" s="145" t="s">
        <v>151</v>
      </c>
      <c r="I16" s="146" t="s">
        <v>163</v>
      </c>
      <c r="J16" s="144" t="s">
        <v>268</v>
      </c>
      <c r="K16" s="146" t="s">
        <v>179</v>
      </c>
      <c r="L16" s="146" t="s">
        <v>165</v>
      </c>
      <c r="M16" s="146"/>
      <c r="N16" s="144" t="s">
        <v>152</v>
      </c>
      <c r="O16" s="144" t="s">
        <v>153</v>
      </c>
      <c r="P16" s="145" t="s">
        <v>154</v>
      </c>
      <c r="Q16" s="145" t="s">
        <v>155</v>
      </c>
      <c r="R16" s="146" t="s">
        <v>181</v>
      </c>
      <c r="T16" s="539"/>
      <c r="U16" s="513" t="s">
        <v>320</v>
      </c>
      <c r="V16" s="147" t="s">
        <v>170</v>
      </c>
    </row>
    <row r="17" spans="1:23">
      <c r="B17" s="136"/>
      <c r="C17" s="136"/>
      <c r="E17" s="25"/>
      <c r="F17" s="25"/>
      <c r="G17" s="25"/>
      <c r="I17" s="25"/>
      <c r="J17" s="25"/>
      <c r="K17" s="25"/>
      <c r="L17" s="25"/>
      <c r="M17" s="25"/>
      <c r="N17" s="25"/>
      <c r="O17" s="25"/>
      <c r="P17" s="25"/>
      <c r="Q17" s="25"/>
      <c r="R17" s="25"/>
      <c r="T17" s="25"/>
      <c r="V17" s="148"/>
    </row>
    <row r="18" spans="1:23">
      <c r="A18" s="134" t="s">
        <v>194</v>
      </c>
      <c r="B18" s="132" t="s">
        <v>182</v>
      </c>
      <c r="C18" s="149" t="str">
        <f t="shared" ref="C18:F40" ca="1" si="0">INDIRECT("'"&amp; $A18 &amp; "'!" &amp;C$53)</f>
        <v>Snyder 138 kV Terminal Addition</v>
      </c>
      <c r="D18" s="150">
        <f t="shared" ca="1" si="0"/>
        <v>2010</v>
      </c>
      <c r="E18" s="151">
        <v>0</v>
      </c>
      <c r="F18" s="152">
        <f t="shared" ca="1" si="0"/>
        <v>0</v>
      </c>
      <c r="G18" s="152">
        <f t="shared" ref="G18:G23" ca="1" si="1">+E18+F18</f>
        <v>0</v>
      </c>
      <c r="H18" s="135"/>
      <c r="I18" s="153">
        <f t="shared" ref="I18:I43" ca="1" si="2">INDIRECT("'"&amp; $A18 &amp; "'!" &amp;I$53)</f>
        <v>-9632.2687639622454</v>
      </c>
      <c r="J18" s="511">
        <v>82722.994965386461</v>
      </c>
      <c r="K18" s="154">
        <f>J18/(J$46)*K$46</f>
        <v>82758.639608725352</v>
      </c>
      <c r="L18" s="151">
        <f t="shared" ref="L18:L23" si="3">+J18-K18</f>
        <v>-35.64464333889191</v>
      </c>
      <c r="M18" s="151"/>
      <c r="N18" s="152">
        <v>0</v>
      </c>
      <c r="O18" s="152">
        <v>0</v>
      </c>
      <c r="P18" s="152"/>
      <c r="Q18" s="154">
        <f ca="1">+V18/$V$46 * $Q$46</f>
        <v>-2065.3281497365761</v>
      </c>
      <c r="R18" s="155">
        <f ca="1">I18+L18+P18+Q18</f>
        <v>-11733.241557037712</v>
      </c>
      <c r="S18" s="155"/>
      <c r="T18" s="156">
        <f t="shared" ref="T18:T23" ca="1" si="4">+G18+R18</f>
        <v>-11733.241557037712</v>
      </c>
      <c r="U18" s="514">
        <v>-6436.5218501335175</v>
      </c>
      <c r="V18" s="157">
        <f t="shared" ref="V18:V23" ca="1" si="5">+I18+L18+P18</f>
        <v>-9667.9134073011373</v>
      </c>
      <c r="W18" t="str">
        <f t="shared" ref="W18:W23" si="6">A18</f>
        <v>OKT.001</v>
      </c>
    </row>
    <row r="19" spans="1:23" ht="25.5">
      <c r="A19" s="134" t="s">
        <v>195</v>
      </c>
      <c r="B19" s="132" t="s">
        <v>182</v>
      </c>
      <c r="C19" s="149" t="str">
        <f t="shared" ca="1" si="0"/>
        <v>Coffeyville T to Dearing 138 kV Rebuild - 1.1 miles</v>
      </c>
      <c r="D19" s="150">
        <f t="shared" ca="1" si="0"/>
        <v>2010</v>
      </c>
      <c r="E19" s="151">
        <v>0</v>
      </c>
      <c r="F19" s="152">
        <f t="shared" ca="1" si="0"/>
        <v>0</v>
      </c>
      <c r="G19" s="152">
        <f t="shared" ca="1" si="1"/>
        <v>0</v>
      </c>
      <c r="H19" s="135"/>
      <c r="I19" s="153">
        <f t="shared" ca="1" si="2"/>
        <v>-12847.036684664607</v>
      </c>
      <c r="J19" s="511">
        <v>111786.10942848482</v>
      </c>
      <c r="K19" s="154">
        <f>J19/(J$46)*K$46</f>
        <v>111834.2771236038</v>
      </c>
      <c r="L19" s="151">
        <f t="shared" si="3"/>
        <v>-48.167695118972915</v>
      </c>
      <c r="M19" s="151"/>
      <c r="N19" s="152">
        <v>0</v>
      </c>
      <c r="O19" s="152">
        <v>0</v>
      </c>
      <c r="P19" s="152"/>
      <c r="Q19" s="154">
        <f t="shared" ref="Q19:Q35" ca="1" si="7">+V19/$V$46 * $Q$46</f>
        <v>-2754.764909464383</v>
      </c>
      <c r="R19" s="155">
        <f t="shared" ref="R19:R23" ca="1" si="8">I19+L19+P19+Q19</f>
        <v>-15649.969289247962</v>
      </c>
      <c r="S19" s="155"/>
      <c r="T19" s="158">
        <f t="shared" ca="1" si="4"/>
        <v>-15649.969289247962</v>
      </c>
      <c r="U19" s="514">
        <v>-8765.9815034429485</v>
      </c>
      <c r="V19" s="157">
        <f t="shared" ca="1" si="5"/>
        <v>-12895.204379783579</v>
      </c>
      <c r="W19" t="str">
        <f t="shared" si="6"/>
        <v>OKT.002</v>
      </c>
    </row>
    <row r="20" spans="1:23">
      <c r="A20" s="134" t="s">
        <v>202</v>
      </c>
      <c r="B20" s="132" t="s">
        <v>182</v>
      </c>
      <c r="C20" s="149" t="str">
        <f t="shared" ca="1" si="0"/>
        <v>Tulsa Power Station Reactor</v>
      </c>
      <c r="D20" s="150">
        <f t="shared" ca="1" si="0"/>
        <v>2011</v>
      </c>
      <c r="E20" s="151">
        <v>0</v>
      </c>
      <c r="F20" s="152">
        <f t="shared" ca="1" si="0"/>
        <v>0</v>
      </c>
      <c r="G20" s="152">
        <f t="shared" ca="1" si="1"/>
        <v>0</v>
      </c>
      <c r="H20" s="135"/>
      <c r="I20" s="153">
        <f t="shared" ca="1" si="2"/>
        <v>-8096.7221213026714</v>
      </c>
      <c r="J20" s="511">
        <v>71159.677266998769</v>
      </c>
      <c r="K20" s="154">
        <f>J20/(J$46)*K$46</f>
        <v>71190.339373917814</v>
      </c>
      <c r="L20" s="151">
        <f t="shared" si="3"/>
        <v>-30.662106919044163</v>
      </c>
      <c r="M20" s="151"/>
      <c r="N20" s="152">
        <v>0</v>
      </c>
      <c r="O20" s="152">
        <v>0</v>
      </c>
      <c r="P20" s="152"/>
      <c r="Q20" s="154">
        <f t="shared" ca="1" si="7"/>
        <v>-1736.2293933657845</v>
      </c>
      <c r="R20" s="155">
        <f t="shared" ca="1" si="8"/>
        <v>-9863.6136215874994</v>
      </c>
      <c r="S20" s="155"/>
      <c r="T20" s="158">
        <f t="shared" ca="1" si="4"/>
        <v>-9863.6136215874994</v>
      </c>
      <c r="U20" s="514">
        <v>-5466.6658150738585</v>
      </c>
      <c r="V20" s="157">
        <f t="shared" ca="1" si="5"/>
        <v>-8127.3842282217156</v>
      </c>
      <c r="W20" t="str">
        <f t="shared" si="6"/>
        <v>OKT.003</v>
      </c>
    </row>
    <row r="21" spans="1:23">
      <c r="A21" s="134" t="s">
        <v>203</v>
      </c>
      <c r="B21" s="132" t="s">
        <v>182</v>
      </c>
      <c r="C21" s="149" t="str">
        <f t="shared" ca="1" si="0"/>
        <v xml:space="preserve">Bartlesville SE to Coffeyville T Rebuild </v>
      </c>
      <c r="D21" s="150">
        <f t="shared" ca="1" si="0"/>
        <v>2011</v>
      </c>
      <c r="E21" s="151">
        <v>0</v>
      </c>
      <c r="F21" s="152">
        <f t="shared" ca="1" si="0"/>
        <v>0</v>
      </c>
      <c r="G21" s="152">
        <f t="shared" ca="1" si="1"/>
        <v>0</v>
      </c>
      <c r="H21" s="135"/>
      <c r="I21" s="153">
        <f t="shared" ca="1" si="2"/>
        <v>-153547.76352368412</v>
      </c>
      <c r="J21" s="511">
        <v>1258640.0586061683</v>
      </c>
      <c r="K21" s="154">
        <f>J21/(J$46)*K$46</f>
        <v>1259182.3960299985</v>
      </c>
      <c r="L21" s="151">
        <f t="shared" si="3"/>
        <v>-542.33742383029312</v>
      </c>
      <c r="M21" s="151"/>
      <c r="N21" s="152">
        <v>0</v>
      </c>
      <c r="O21" s="152">
        <v>0</v>
      </c>
      <c r="P21" s="152"/>
      <c r="Q21" s="154">
        <f t="shared" ca="1" si="7"/>
        <v>-32917.818941397913</v>
      </c>
      <c r="R21" s="155">
        <f t="shared" ca="1" si="8"/>
        <v>-187007.91988891232</v>
      </c>
      <c r="S21" s="155"/>
      <c r="T21" s="158">
        <f t="shared" ca="1" si="4"/>
        <v>-187007.91988891232</v>
      </c>
      <c r="U21" s="514">
        <v>-104422.36692338112</v>
      </c>
      <c r="V21" s="157">
        <f t="shared" ca="1" si="5"/>
        <v>-154090.10094751441</v>
      </c>
      <c r="W21" t="str">
        <f t="shared" si="6"/>
        <v>OKT.004</v>
      </c>
    </row>
    <row r="22" spans="1:23">
      <c r="A22" s="134" t="s">
        <v>207</v>
      </c>
      <c r="B22" s="132" t="s">
        <v>182</v>
      </c>
      <c r="C22" s="149" t="str">
        <f t="shared" ca="1" si="0"/>
        <v>Install 345kV terminal at Valliant***</v>
      </c>
      <c r="D22" s="150">
        <f t="shared" ca="1" si="0"/>
        <v>2012</v>
      </c>
      <c r="E22" s="151">
        <v>0</v>
      </c>
      <c r="F22" s="152">
        <f t="shared" ca="1" si="0"/>
        <v>0</v>
      </c>
      <c r="G22" s="152">
        <f t="shared" ca="1" si="1"/>
        <v>0</v>
      </c>
      <c r="H22" s="135"/>
      <c r="I22" s="153">
        <f t="shared" ca="1" si="2"/>
        <v>0</v>
      </c>
      <c r="J22" s="511">
        <v>0</v>
      </c>
      <c r="K22" s="154">
        <v>0</v>
      </c>
      <c r="L22" s="151">
        <f t="shared" si="3"/>
        <v>0</v>
      </c>
      <c r="M22" s="151"/>
      <c r="N22" s="152">
        <v>0</v>
      </c>
      <c r="O22" s="152">
        <v>0</v>
      </c>
      <c r="P22" s="152"/>
      <c r="Q22" s="154">
        <f t="shared" ca="1" si="7"/>
        <v>0</v>
      </c>
      <c r="R22" s="155">
        <f t="shared" ca="1" si="8"/>
        <v>0</v>
      </c>
      <c r="S22" s="155"/>
      <c r="T22" s="158">
        <f t="shared" ca="1" si="4"/>
        <v>0</v>
      </c>
      <c r="U22" s="514"/>
      <c r="V22" s="157">
        <f t="shared" ca="1" si="5"/>
        <v>0</v>
      </c>
      <c r="W22" t="str">
        <f t="shared" si="6"/>
        <v>OKT.005</v>
      </c>
    </row>
    <row r="23" spans="1:23" ht="25.5">
      <c r="A23" s="134" t="s">
        <v>208</v>
      </c>
      <c r="B23" s="132" t="s">
        <v>182</v>
      </c>
      <c r="C23" s="149" t="str">
        <f t="shared" ca="1" si="0"/>
        <v xml:space="preserve">Canadian River - McAlester City 138 kV Line Conversion </v>
      </c>
      <c r="D23" s="150">
        <f t="shared" ca="1" si="0"/>
        <v>2013</v>
      </c>
      <c r="E23" s="151">
        <v>0</v>
      </c>
      <c r="F23" s="152">
        <f t="shared" ca="1" si="0"/>
        <v>0</v>
      </c>
      <c r="G23" s="152">
        <f t="shared" ca="1" si="1"/>
        <v>0</v>
      </c>
      <c r="H23" s="135"/>
      <c r="I23" s="153">
        <f t="shared" ca="1" si="2"/>
        <v>-385049.05397979356</v>
      </c>
      <c r="J23" s="511">
        <v>3449578.8175098407</v>
      </c>
      <c r="K23" s="154">
        <f t="shared" ref="K23:K37" si="9">J23/(J$46)*K$46</f>
        <v>3451065.2120325607</v>
      </c>
      <c r="L23" s="151">
        <f t="shared" si="3"/>
        <v>-1486.3945227200165</v>
      </c>
      <c r="M23" s="151"/>
      <c r="N23" s="152">
        <v>0</v>
      </c>
      <c r="O23" s="152">
        <v>0</v>
      </c>
      <c r="P23" s="152"/>
      <c r="Q23" s="154">
        <f t="shared" ca="1" si="7"/>
        <v>-82574.440733034149</v>
      </c>
      <c r="R23" s="155">
        <f t="shared" ca="1" si="8"/>
        <v>-469109.88923554774</v>
      </c>
      <c r="S23" s="155"/>
      <c r="T23" s="158">
        <f t="shared" ca="1" si="4"/>
        <v>-469109.88923554774</v>
      </c>
      <c r="U23" s="514">
        <v>-257118.65661522254</v>
      </c>
      <c r="V23" s="157">
        <f t="shared" ca="1" si="5"/>
        <v>-386535.44850251358</v>
      </c>
      <c r="W23" t="str">
        <f t="shared" si="6"/>
        <v>OKT.006</v>
      </c>
    </row>
    <row r="24" spans="1:23">
      <c r="A24" s="134" t="s">
        <v>216</v>
      </c>
      <c r="B24" s="132" t="s">
        <v>182</v>
      </c>
      <c r="C24" s="149" t="str">
        <f t="shared" ca="1" si="0"/>
        <v xml:space="preserve">Cornville Station Conversion </v>
      </c>
      <c r="D24" s="150">
        <f t="shared" ca="1" si="0"/>
        <v>2014</v>
      </c>
      <c r="E24" s="151">
        <v>0</v>
      </c>
      <c r="F24" s="152">
        <f t="shared" ca="1" si="0"/>
        <v>0</v>
      </c>
      <c r="G24" s="152">
        <f t="shared" ref="G24:G30" ca="1" si="10">+E24+F24</f>
        <v>0</v>
      </c>
      <c r="H24" s="135"/>
      <c r="I24" s="153">
        <f t="shared" ca="1" si="2"/>
        <v>-134135.19461473683</v>
      </c>
      <c r="J24" s="511">
        <v>1230015.3853708718</v>
      </c>
      <c r="K24" s="154">
        <f t="shared" si="9"/>
        <v>1230545.3886635625</v>
      </c>
      <c r="L24" s="151">
        <f t="shared" ref="L24:L30" si="11">+J24-K24</f>
        <v>-530.00329269072972</v>
      </c>
      <c r="M24" s="151"/>
      <c r="N24" s="152">
        <v>0</v>
      </c>
      <c r="O24" s="152">
        <v>0</v>
      </c>
      <c r="P24" s="152"/>
      <c r="Q24" s="154">
        <f t="shared" ca="1" si="7"/>
        <v>-28768.133547619189</v>
      </c>
      <c r="R24" s="155">
        <f t="shared" ref="R24:R30" ca="1" si="12">I24+L24+P24+Q24</f>
        <v>-163433.33145504675</v>
      </c>
      <c r="S24" s="155"/>
      <c r="T24" s="158">
        <f t="shared" ref="T24:T30" ca="1" si="13">+G24+R24</f>
        <v>-163433.33145504675</v>
      </c>
      <c r="U24" s="514">
        <v>-90864.020272110778</v>
      </c>
      <c r="V24" s="157">
        <f t="shared" ref="V24:V30" ca="1" si="14">+I24+L24+P24</f>
        <v>-134665.19790742756</v>
      </c>
      <c r="W24" t="str">
        <f t="shared" ref="W24:W30" si="15">A24</f>
        <v>OKT.007</v>
      </c>
    </row>
    <row r="25" spans="1:23">
      <c r="A25" s="134" t="s">
        <v>217</v>
      </c>
      <c r="B25" s="132" t="s">
        <v>182</v>
      </c>
      <c r="C25" s="149" t="str">
        <f t="shared" ca="1" si="0"/>
        <v>Coweta 69 kV Capacitor</v>
      </c>
      <c r="D25" s="150">
        <f t="shared" ca="1" si="0"/>
        <v>2014</v>
      </c>
      <c r="E25" s="159">
        <v>0</v>
      </c>
      <c r="F25" s="160">
        <f t="shared" ca="1" si="0"/>
        <v>0</v>
      </c>
      <c r="G25" s="160">
        <f t="shared" ca="1" si="10"/>
        <v>0</v>
      </c>
      <c r="H25" s="135"/>
      <c r="I25" s="153">
        <f t="shared" ca="1" si="2"/>
        <v>-24509.419686042384</v>
      </c>
      <c r="J25" s="511">
        <v>224512.57265935227</v>
      </c>
      <c r="K25" s="154">
        <f t="shared" si="9"/>
        <v>224609.31324014108</v>
      </c>
      <c r="L25" s="159">
        <f t="shared" si="11"/>
        <v>-96.740580788813531</v>
      </c>
      <c r="M25" s="159"/>
      <c r="N25" s="160">
        <v>0</v>
      </c>
      <c r="O25" s="160">
        <v>0</v>
      </c>
      <c r="P25" s="152"/>
      <c r="Q25" s="161">
        <f t="shared" ca="1" si="7"/>
        <v>-5256.5422666733239</v>
      </c>
      <c r="R25" s="162">
        <f t="shared" ca="1" si="12"/>
        <v>-29862.702533504522</v>
      </c>
      <c r="S25" s="162"/>
      <c r="T25" s="163">
        <f t="shared" ca="1" si="13"/>
        <v>-29862.702533504522</v>
      </c>
      <c r="U25" s="514">
        <v>-16581.101264137131</v>
      </c>
      <c r="V25" s="157">
        <f ca="1">+I25+L25+P25</f>
        <v>-24606.160266831197</v>
      </c>
      <c r="W25" t="str">
        <f t="shared" si="15"/>
        <v>OKT.008</v>
      </c>
    </row>
    <row r="26" spans="1:23">
      <c r="A26" s="164" t="s">
        <v>225</v>
      </c>
      <c r="B26" s="132" t="s">
        <v>182</v>
      </c>
      <c r="C26" s="149" t="str">
        <f t="shared" ca="1" si="0"/>
        <v>Prattville-Bluebell 138 kV</v>
      </c>
      <c r="D26" s="150">
        <f t="shared" ca="1" si="0"/>
        <v>2015</v>
      </c>
      <c r="E26" s="159">
        <v>0</v>
      </c>
      <c r="F26" s="160">
        <f t="shared" ca="1" si="0"/>
        <v>0</v>
      </c>
      <c r="G26" s="160">
        <f t="shared" ca="1" si="10"/>
        <v>0</v>
      </c>
      <c r="H26" s="135"/>
      <c r="I26" s="153">
        <f t="shared" ca="1" si="2"/>
        <v>-112952.05122479168</v>
      </c>
      <c r="J26" s="511">
        <v>1043921.0875665332</v>
      </c>
      <c r="K26" s="154">
        <f t="shared" si="9"/>
        <v>1044370.9043902087</v>
      </c>
      <c r="L26" s="159">
        <f t="shared" si="11"/>
        <v>-449.81682367541362</v>
      </c>
      <c r="M26" s="159"/>
      <c r="N26" s="160">
        <v>0</v>
      </c>
      <c r="O26" s="160">
        <v>0</v>
      </c>
      <c r="P26" s="152"/>
      <c r="Q26" s="161">
        <f t="shared" ca="1" si="7"/>
        <v>-24225.710393344714</v>
      </c>
      <c r="R26" s="162">
        <f t="shared" ca="1" si="12"/>
        <v>-137627.57844181181</v>
      </c>
      <c r="S26" s="162"/>
      <c r="T26" s="163">
        <f t="shared" ca="1" si="13"/>
        <v>-137627.57844181181</v>
      </c>
      <c r="U26" s="514">
        <v>-75898.0619287749</v>
      </c>
      <c r="V26" s="157">
        <f t="shared" ca="1" si="14"/>
        <v>-113401.86804846709</v>
      </c>
      <c r="W26" t="str">
        <f t="shared" si="15"/>
        <v>OKT.009</v>
      </c>
    </row>
    <row r="27" spans="1:23">
      <c r="A27" s="164" t="s">
        <v>226</v>
      </c>
      <c r="B27" s="132" t="s">
        <v>182</v>
      </c>
      <c r="C27" s="149" t="str">
        <f t="shared" ca="1" si="0"/>
        <v>Wapanucka Customer Connection</v>
      </c>
      <c r="D27" s="150">
        <f t="shared" ca="1" si="0"/>
        <v>2013</v>
      </c>
      <c r="E27" s="159">
        <v>0</v>
      </c>
      <c r="F27" s="160">
        <f t="shared" ca="1" si="0"/>
        <v>0</v>
      </c>
      <c r="G27" s="160">
        <f t="shared" ca="1" si="10"/>
        <v>0</v>
      </c>
      <c r="H27" s="135"/>
      <c r="I27" s="153">
        <f t="shared" ca="1" si="2"/>
        <v>-81128.86489011778</v>
      </c>
      <c r="J27" s="511">
        <v>877576.57893112977</v>
      </c>
      <c r="K27" s="154">
        <f t="shared" si="9"/>
        <v>877954.71930396871</v>
      </c>
      <c r="L27" s="159">
        <f t="shared" si="11"/>
        <v>-378.1403728389414</v>
      </c>
      <c r="M27" s="159"/>
      <c r="N27" s="160">
        <v>0</v>
      </c>
      <c r="O27" s="160">
        <v>0</v>
      </c>
      <c r="P27" s="152"/>
      <c r="Q27" s="161">
        <f t="shared" ca="1" si="7"/>
        <v>-17412.103861334093</v>
      </c>
      <c r="R27" s="162">
        <f t="shared" ca="1" si="12"/>
        <v>-98919.109124290815</v>
      </c>
      <c r="S27" s="162"/>
      <c r="T27" s="163">
        <f t="shared" ca="1" si="13"/>
        <v>-98919.109124290815</v>
      </c>
      <c r="U27" s="514">
        <v>-64117.376333399094</v>
      </c>
      <c r="V27" s="157">
        <f t="shared" ca="1" si="14"/>
        <v>-81507.005262956722</v>
      </c>
      <c r="W27" t="str">
        <f t="shared" si="15"/>
        <v>OKT.010</v>
      </c>
    </row>
    <row r="28" spans="1:23">
      <c r="A28" s="164" t="s">
        <v>227</v>
      </c>
      <c r="B28" s="132" t="s">
        <v>182</v>
      </c>
      <c r="C28" s="149" t="str">
        <f t="shared" ca="1" si="0"/>
        <v>Grady Customer Connection</v>
      </c>
      <c r="D28" s="150">
        <f t="shared" ca="1" si="0"/>
        <v>2014</v>
      </c>
      <c r="E28" s="159">
        <v>0</v>
      </c>
      <c r="F28" s="160">
        <f t="shared" ca="1" si="0"/>
        <v>0</v>
      </c>
      <c r="G28" s="160">
        <f t="shared" ca="1" si="10"/>
        <v>0</v>
      </c>
      <c r="H28" s="135"/>
      <c r="I28" s="153">
        <f t="shared" ca="1" si="2"/>
        <v>-266474.91286720475</v>
      </c>
      <c r="J28" s="511">
        <v>2458104.9568348709</v>
      </c>
      <c r="K28" s="154">
        <f t="shared" si="9"/>
        <v>2459164.1336032241</v>
      </c>
      <c r="L28" s="159">
        <f t="shared" si="11"/>
        <v>-1059.1767683532089</v>
      </c>
      <c r="M28" s="159"/>
      <c r="N28" s="160">
        <v>0</v>
      </c>
      <c r="O28" s="160">
        <v>0</v>
      </c>
      <c r="P28" s="152"/>
      <c r="Q28" s="161">
        <f t="shared" ca="1" si="7"/>
        <v>-57152.5274441523</v>
      </c>
      <c r="R28" s="162">
        <f t="shared" ca="1" si="12"/>
        <v>-324686.61707971024</v>
      </c>
      <c r="S28" s="162"/>
      <c r="T28" s="163">
        <f t="shared" ca="1" si="13"/>
        <v>-324686.61707971024</v>
      </c>
      <c r="U28" s="514">
        <v>-180006.35653922823</v>
      </c>
      <c r="V28" s="157">
        <f t="shared" ca="1" si="14"/>
        <v>-267534.08963555796</v>
      </c>
      <c r="W28" t="str">
        <f t="shared" si="15"/>
        <v>OKT.011</v>
      </c>
    </row>
    <row r="29" spans="1:23">
      <c r="A29" s="164" t="s">
        <v>228</v>
      </c>
      <c r="B29" s="132" t="s">
        <v>182</v>
      </c>
      <c r="C29" s="149" t="str">
        <f t="shared" ca="1" si="0"/>
        <v>Darlington-Red Rock 138 kV line</v>
      </c>
      <c r="D29" s="150">
        <f t="shared" ca="1" si="0"/>
        <v>2014</v>
      </c>
      <c r="E29" s="159">
        <v>0</v>
      </c>
      <c r="F29" s="160">
        <f t="shared" ca="1" si="0"/>
        <v>0</v>
      </c>
      <c r="G29" s="160">
        <f t="shared" ca="1" si="10"/>
        <v>0</v>
      </c>
      <c r="H29" s="135"/>
      <c r="I29" s="153">
        <f t="shared" ca="1" si="2"/>
        <v>-187425.01081157662</v>
      </c>
      <c r="J29" s="511">
        <v>1600683.5943866959</v>
      </c>
      <c r="K29" s="154">
        <f t="shared" si="9"/>
        <v>1601373.3154956114</v>
      </c>
      <c r="L29" s="159">
        <f t="shared" si="11"/>
        <v>-689.72110891551711</v>
      </c>
      <c r="M29" s="159"/>
      <c r="N29" s="160">
        <v>0</v>
      </c>
      <c r="O29" s="160">
        <v>0</v>
      </c>
      <c r="P29" s="152"/>
      <c r="Q29" s="161">
        <f t="shared" ca="1" si="7"/>
        <v>-40186.401640930671</v>
      </c>
      <c r="R29" s="162">
        <f t="shared" ca="1" si="12"/>
        <v>-228301.13356142282</v>
      </c>
      <c r="S29" s="162"/>
      <c r="T29" s="163">
        <f t="shared" ca="1" si="13"/>
        <v>-228301.13356142282</v>
      </c>
      <c r="U29" s="514">
        <v>-117864.83033986336</v>
      </c>
      <c r="V29" s="157">
        <f t="shared" ca="1" si="14"/>
        <v>-188114.73192049214</v>
      </c>
      <c r="W29" t="str">
        <f t="shared" si="15"/>
        <v>OKT.012</v>
      </c>
    </row>
    <row r="30" spans="1:23">
      <c r="A30" s="164" t="s">
        <v>233</v>
      </c>
      <c r="B30" s="132" t="s">
        <v>182</v>
      </c>
      <c r="C30" s="149" t="str">
        <f t="shared" ca="1" si="0"/>
        <v>Ellis 138 kV</v>
      </c>
      <c r="D30" s="150">
        <f t="shared" ca="1" si="0"/>
        <v>2013</v>
      </c>
      <c r="E30" s="159">
        <v>0</v>
      </c>
      <c r="F30" s="160">
        <f t="shared" ca="1" si="0"/>
        <v>0</v>
      </c>
      <c r="G30" s="160">
        <f t="shared" ca="1" si="10"/>
        <v>0</v>
      </c>
      <c r="H30" s="135"/>
      <c r="I30" s="153">
        <f t="shared" ca="1" si="2"/>
        <v>0</v>
      </c>
      <c r="J30" s="511">
        <v>2939.8452969291848</v>
      </c>
      <c r="K30" s="154">
        <f t="shared" si="9"/>
        <v>2941.1120515616108</v>
      </c>
      <c r="L30" s="159">
        <f t="shared" si="11"/>
        <v>-1.2667546324260002</v>
      </c>
      <c r="M30" s="159"/>
      <c r="N30" s="160">
        <v>0</v>
      </c>
      <c r="O30" s="160">
        <v>0</v>
      </c>
      <c r="P30" s="152"/>
      <c r="Q30" s="161">
        <f t="shared" ca="1" si="7"/>
        <v>-0.27061309829097607</v>
      </c>
      <c r="R30" s="162">
        <f t="shared" ca="1" si="12"/>
        <v>-1.5373677307169762</v>
      </c>
      <c r="S30" s="162"/>
      <c r="T30" s="163">
        <f t="shared" ca="1" si="13"/>
        <v>-1.5373677307169762</v>
      </c>
      <c r="U30" s="514">
        <v>0</v>
      </c>
      <c r="V30" s="157">
        <f t="shared" ca="1" si="14"/>
        <v>-1.2667546324260002</v>
      </c>
      <c r="W30" t="str">
        <f t="shared" si="15"/>
        <v>OKT.013</v>
      </c>
    </row>
    <row r="31" spans="1:23">
      <c r="A31" s="164" t="s">
        <v>236</v>
      </c>
      <c r="B31" s="132" t="s">
        <v>182</v>
      </c>
      <c r="C31" s="149" t="str">
        <f t="shared" ca="1" si="0"/>
        <v>Valliant-NW Texarkana 345 kV</v>
      </c>
      <c r="D31" s="150">
        <f t="shared" ca="1" si="0"/>
        <v>2016</v>
      </c>
      <c r="E31" s="159">
        <v>0</v>
      </c>
      <c r="F31" s="160">
        <f t="shared" ca="1" si="0"/>
        <v>0</v>
      </c>
      <c r="G31" s="160">
        <f ca="1">+E31+F31</f>
        <v>0</v>
      </c>
      <c r="H31" s="135"/>
      <c r="I31" s="153">
        <f t="shared" ca="1" si="2"/>
        <v>-1067849.0558348373</v>
      </c>
      <c r="J31" s="511">
        <v>8368537.7985392967</v>
      </c>
      <c r="K31" s="154">
        <f t="shared" si="9"/>
        <v>8372143.7311487449</v>
      </c>
      <c r="L31" s="159">
        <f t="shared" ref="L31:L37" si="16">+J31-K31</f>
        <v>-3605.9326094482094</v>
      </c>
      <c r="M31" s="159"/>
      <c r="N31" s="160">
        <v>0</v>
      </c>
      <c r="O31" s="160">
        <v>0</v>
      </c>
      <c r="P31" s="152"/>
      <c r="Q31" s="161">
        <f t="shared" ca="1" si="7"/>
        <v>-228891.80483748333</v>
      </c>
      <c r="R31" s="162">
        <f t="shared" ref="R31:R37" ca="1" si="17">I31+L31+P31+Q31</f>
        <v>-1300346.7932817689</v>
      </c>
      <c r="S31" s="162"/>
      <c r="T31" s="163">
        <f t="shared" ref="T31:T37" ca="1" si="18">+G31+R31</f>
        <v>-1300346.7932817689</v>
      </c>
      <c r="U31" s="514">
        <v>-606887.81409923418</v>
      </c>
      <c r="V31" s="157">
        <f t="shared" ref="V31:V37" ca="1" si="19">+I31+L31+P31</f>
        <v>-1071454.9884442855</v>
      </c>
      <c r="W31" t="str">
        <f t="shared" ref="W31:W36" si="20">A31</f>
        <v>OKT.014</v>
      </c>
    </row>
    <row r="32" spans="1:23">
      <c r="A32" s="164" t="s">
        <v>239</v>
      </c>
      <c r="B32" s="132" t="s">
        <v>182</v>
      </c>
      <c r="C32" s="149" t="str">
        <f t="shared" ca="1" si="0"/>
        <v>Darlington Roman Nose 138 kv</v>
      </c>
      <c r="D32" s="150">
        <f t="shared" ca="1" si="0"/>
        <v>2017</v>
      </c>
      <c r="E32" s="159">
        <v>0</v>
      </c>
      <c r="F32" s="160">
        <f t="shared" ca="1" si="0"/>
        <v>0</v>
      </c>
      <c r="G32" s="160">
        <f ca="1">+E32+F32</f>
        <v>0</v>
      </c>
      <c r="H32" s="135"/>
      <c r="I32" s="153">
        <f t="shared" ca="1" si="2"/>
        <v>-144165.21204083459</v>
      </c>
      <c r="J32" s="511">
        <v>1403637.0261438703</v>
      </c>
      <c r="K32" s="154">
        <f t="shared" si="9"/>
        <v>1404241.8415424798</v>
      </c>
      <c r="L32" s="159">
        <f t="shared" si="16"/>
        <v>-604.81539860949852</v>
      </c>
      <c r="M32" s="159"/>
      <c r="N32" s="160">
        <v>0</v>
      </c>
      <c r="O32" s="160">
        <v>0</v>
      </c>
      <c r="P32" s="152"/>
      <c r="Q32" s="161">
        <f t="shared" ca="1" si="7"/>
        <v>-30926.798815038997</v>
      </c>
      <c r="R32" s="162">
        <f t="shared" ca="1" si="17"/>
        <v>-175696.82625448308</v>
      </c>
      <c r="S32" s="162"/>
      <c r="T32" s="163">
        <f t="shared" ca="1" si="18"/>
        <v>-175696.82625448308</v>
      </c>
      <c r="U32" s="514">
        <v>-98320.053559139691</v>
      </c>
      <c r="V32" s="157">
        <f t="shared" ca="1" si="19"/>
        <v>-144770.02743944409</v>
      </c>
      <c r="W32" t="str">
        <f t="shared" si="20"/>
        <v>OKT.015</v>
      </c>
    </row>
    <row r="33" spans="1:23">
      <c r="A33" s="164" t="s">
        <v>248</v>
      </c>
      <c r="B33" s="132" t="s">
        <v>182</v>
      </c>
      <c r="C33" s="149" t="str">
        <f t="shared" ca="1" si="0"/>
        <v>Carnegie South-Southwestern 123 kv line rebuild</v>
      </c>
      <c r="D33" s="150">
        <f t="shared" ca="1" si="0"/>
        <v>2017</v>
      </c>
      <c r="E33" s="159">
        <v>0</v>
      </c>
      <c r="F33" s="160">
        <f t="shared" ca="1" si="0"/>
        <v>0</v>
      </c>
      <c r="G33" s="160">
        <f ca="1">+E33+F33</f>
        <v>0</v>
      </c>
      <c r="H33" s="135"/>
      <c r="I33" s="153">
        <f t="shared" ca="1" si="2"/>
        <v>-127453.55844048364</v>
      </c>
      <c r="J33" s="511">
        <v>1228140.7456264223</v>
      </c>
      <c r="K33" s="154">
        <f>J33/(J$46)*K$46</f>
        <v>1228669.9411526015</v>
      </c>
      <c r="L33" s="159">
        <f t="shared" si="16"/>
        <v>-529.19552617915906</v>
      </c>
      <c r="M33" s="159"/>
      <c r="N33" s="160">
        <v>0</v>
      </c>
      <c r="O33" s="160">
        <v>0</v>
      </c>
      <c r="P33" s="152"/>
      <c r="Q33" s="161">
        <f t="shared" ca="1" si="7"/>
        <v>-27340.582534442416</v>
      </c>
      <c r="R33" s="162">
        <f t="shared" ca="1" si="17"/>
        <v>-155323.33650110522</v>
      </c>
      <c r="S33" s="162"/>
      <c r="T33" s="163">
        <f t="shared" ca="1" si="18"/>
        <v>-155323.33650110522</v>
      </c>
      <c r="U33" s="514">
        <v>-85845.365875871052</v>
      </c>
      <c r="V33" s="157">
        <f t="shared" ca="1" si="19"/>
        <v>-127982.7539666628</v>
      </c>
      <c r="W33" t="str">
        <f t="shared" si="20"/>
        <v>OKT.016</v>
      </c>
    </row>
    <row r="34" spans="1:23">
      <c r="A34" s="164" t="s">
        <v>249</v>
      </c>
      <c r="B34" s="132" t="s">
        <v>182</v>
      </c>
      <c r="C34" s="149" t="str">
        <f t="shared" ca="1" si="0"/>
        <v>Chisholm - Gracemont 345 kv line and station</v>
      </c>
      <c r="D34" s="150">
        <f t="shared" ca="1" si="0"/>
        <v>2017</v>
      </c>
      <c r="E34" s="159">
        <v>0</v>
      </c>
      <c r="F34" s="160">
        <f t="shared" ca="1" si="0"/>
        <v>0</v>
      </c>
      <c r="G34" s="160">
        <f ca="1">+E34+F34</f>
        <v>0</v>
      </c>
      <c r="H34" s="135"/>
      <c r="I34" s="153">
        <f t="shared" ca="1" si="2"/>
        <v>-1131998.9165168311</v>
      </c>
      <c r="J34" s="511">
        <v>11402019.817598704</v>
      </c>
      <c r="K34" s="154">
        <f t="shared" si="9"/>
        <v>11406932.852117237</v>
      </c>
      <c r="L34" s="159">
        <f t="shared" si="16"/>
        <v>-4913.034518532455</v>
      </c>
      <c r="M34" s="159"/>
      <c r="N34" s="160">
        <v>0</v>
      </c>
      <c r="O34" s="160">
        <v>0</v>
      </c>
      <c r="P34" s="152"/>
      <c r="Q34" s="161">
        <f t="shared" ca="1" si="7"/>
        <v>-242875.18488446571</v>
      </c>
      <c r="R34" s="162">
        <f t="shared" ca="1" si="17"/>
        <v>-1379787.1359198294</v>
      </c>
      <c r="S34" s="162"/>
      <c r="T34" s="163">
        <f t="shared" ca="1" si="18"/>
        <v>-1379787.1359198294</v>
      </c>
      <c r="U34" s="514">
        <v>-783964.74087052688</v>
      </c>
      <c r="V34" s="157">
        <f t="shared" ca="1" si="19"/>
        <v>-1136911.9510353636</v>
      </c>
      <c r="W34" t="str">
        <f t="shared" si="20"/>
        <v>OKT.017</v>
      </c>
    </row>
    <row r="35" spans="1:23">
      <c r="A35" s="164" t="s">
        <v>265</v>
      </c>
      <c r="B35" s="132" t="s">
        <v>182</v>
      </c>
      <c r="C35" s="149" t="str">
        <f t="shared" ca="1" si="0"/>
        <v>Duncan-Comanche Tap 69 KV Rebuild</v>
      </c>
      <c r="D35" s="150">
        <f t="shared" ca="1" si="0"/>
        <v>2018</v>
      </c>
      <c r="E35" s="159">
        <v>0</v>
      </c>
      <c r="F35" s="160">
        <f t="shared" ca="1" si="0"/>
        <v>0</v>
      </c>
      <c r="G35" s="160">
        <f ca="1">+E35+F35</f>
        <v>0</v>
      </c>
      <c r="H35" s="135"/>
      <c r="I35" s="153">
        <f t="shared" ca="1" si="2"/>
        <v>-127553.63630542951</v>
      </c>
      <c r="J35" s="511">
        <v>1168777.5351282987</v>
      </c>
      <c r="K35" s="154">
        <f t="shared" si="9"/>
        <v>1169281.1515459537</v>
      </c>
      <c r="L35" s="159">
        <f t="shared" si="16"/>
        <v>-503.61641765502281</v>
      </c>
      <c r="M35" s="159"/>
      <c r="N35" s="160">
        <v>0</v>
      </c>
      <c r="O35" s="160">
        <v>0</v>
      </c>
      <c r="P35" s="152"/>
      <c r="Q35" s="161">
        <f t="shared" ca="1" si="7"/>
        <v>-27356.497486539727</v>
      </c>
      <c r="R35" s="162">
        <f t="shared" ca="1" si="17"/>
        <v>-155413.75020962427</v>
      </c>
      <c r="S35" s="162"/>
      <c r="T35" s="163">
        <f t="shared" ca="1" si="18"/>
        <v>-155413.75020962427</v>
      </c>
      <c r="U35" s="514">
        <v>-79451.136293715914</v>
      </c>
      <c r="V35" s="157">
        <f t="shared" ca="1" si="19"/>
        <v>-128057.25272308453</v>
      </c>
      <c r="W35" t="str">
        <f t="shared" si="20"/>
        <v>OKT.018</v>
      </c>
    </row>
    <row r="36" spans="1:23">
      <c r="A36" s="164" t="s">
        <v>288</v>
      </c>
      <c r="B36" s="132" t="s">
        <v>182</v>
      </c>
      <c r="C36" s="149" t="str">
        <f t="shared" ca="1" si="0"/>
        <v>Fort Towson-Valliant 69 KV Line Rebuild</v>
      </c>
      <c r="D36" s="150">
        <f t="shared" ca="1" si="0"/>
        <v>2018</v>
      </c>
      <c r="E36" s="159">
        <v>0</v>
      </c>
      <c r="F36" s="160">
        <f t="shared" ca="1" si="0"/>
        <v>0</v>
      </c>
      <c r="G36" s="160">
        <f t="shared" ref="G36:G43" ca="1" si="21">+E36+F36</f>
        <v>0</v>
      </c>
      <c r="H36" s="135"/>
      <c r="I36" s="153">
        <f t="shared" ca="1" si="2"/>
        <v>-313671.69417389017</v>
      </c>
      <c r="J36" s="511">
        <v>2150547.557675458</v>
      </c>
      <c r="K36" s="154">
        <f t="shared" si="9"/>
        <v>2151474.2105451799</v>
      </c>
      <c r="L36" s="159">
        <f t="shared" si="16"/>
        <v>-926.65286972187459</v>
      </c>
      <c r="M36" s="159"/>
      <c r="N36" s="160">
        <v>0</v>
      </c>
      <c r="O36" s="160">
        <v>0</v>
      </c>
      <c r="P36" s="152"/>
      <c r="Q36" s="161">
        <f ca="1">+V36/$V$46 * $Q$46</f>
        <v>-67206.727515689476</v>
      </c>
      <c r="R36" s="162">
        <f t="shared" ca="1" si="17"/>
        <v>-381805.07455930149</v>
      </c>
      <c r="S36" s="162"/>
      <c r="T36" s="163">
        <f t="shared" ca="1" si="18"/>
        <v>-381805.07455930149</v>
      </c>
      <c r="U36" s="514">
        <v>-152001.37959496555</v>
      </c>
      <c r="V36" s="157">
        <f t="shared" ca="1" si="19"/>
        <v>-314598.34704361204</v>
      </c>
      <c r="W36" t="str">
        <f t="shared" si="20"/>
        <v>OKT.019</v>
      </c>
    </row>
    <row r="37" spans="1:23">
      <c r="A37" s="164" t="s">
        <v>292</v>
      </c>
      <c r="B37" s="132" t="s">
        <v>182</v>
      </c>
      <c r="C37" s="149" t="str">
        <f t="shared" ca="1" si="0"/>
        <v>Keystone Dam - Wekiwa 138 kV</v>
      </c>
      <c r="D37" s="150">
        <f t="shared" ca="1" si="0"/>
        <v>2020</v>
      </c>
      <c r="E37" s="159">
        <v>0</v>
      </c>
      <c r="F37" s="160">
        <f t="shared" ca="1" si="0"/>
        <v>0</v>
      </c>
      <c r="G37" s="160">
        <f t="shared" ca="1" si="21"/>
        <v>0</v>
      </c>
      <c r="H37" s="135"/>
      <c r="I37" s="153">
        <f t="shared" ca="1" si="2"/>
        <v>-43064.026648778585</v>
      </c>
      <c r="J37" s="511">
        <v>536352.52501293039</v>
      </c>
      <c r="K37" s="154">
        <f t="shared" si="9"/>
        <v>536583.63480853196</v>
      </c>
      <c r="L37" s="159">
        <f t="shared" si="16"/>
        <v>-231.10979560157284</v>
      </c>
      <c r="M37" s="159"/>
      <c r="N37" s="160">
        <v>0</v>
      </c>
      <c r="O37" s="160">
        <v>0</v>
      </c>
      <c r="P37" s="152"/>
      <c r="Q37" s="161">
        <f ca="1">+V37/$V$46 * $Q$46</f>
        <v>-9249.0137507578384</v>
      </c>
      <c r="R37" s="162">
        <f t="shared" ca="1" si="17"/>
        <v>-52544.150195137998</v>
      </c>
      <c r="S37" s="162"/>
      <c r="T37" s="163">
        <f t="shared" ca="1" si="18"/>
        <v>-52544.150195137998</v>
      </c>
      <c r="U37" s="514">
        <v>-33170.487899048981</v>
      </c>
      <c r="V37" s="157">
        <f t="shared" ca="1" si="19"/>
        <v>-43295.136444380158</v>
      </c>
      <c r="W37" t="s">
        <v>292</v>
      </c>
    </row>
    <row r="38" spans="1:23">
      <c r="A38" s="164" t="s">
        <v>300</v>
      </c>
      <c r="B38" s="132" t="s">
        <v>182</v>
      </c>
      <c r="C38" s="149" t="str">
        <f t="shared" ca="1" si="0"/>
        <v>Tulsa SE - S Hudson 138 kV</v>
      </c>
      <c r="D38" s="150">
        <f t="shared" ca="1" si="0"/>
        <v>2022</v>
      </c>
      <c r="E38" s="159">
        <v>0</v>
      </c>
      <c r="F38" s="160">
        <f t="shared" ca="1" si="0"/>
        <v>0</v>
      </c>
      <c r="G38" s="160">
        <f t="shared" ca="1" si="21"/>
        <v>0</v>
      </c>
      <c r="H38" s="135"/>
      <c r="I38" s="153">
        <f t="shared" ca="1" si="2"/>
        <v>46735.437962770229</v>
      </c>
      <c r="J38" s="511">
        <v>163040.22705268674</v>
      </c>
      <c r="K38" s="154">
        <f t="shared" ref="K38" si="22">J38/(J$46)*K$46</f>
        <v>163110.47971635801</v>
      </c>
      <c r="L38" s="159">
        <f t="shared" ref="L38" si="23">+J38-K38</f>
        <v>-70.252663671271876</v>
      </c>
      <c r="M38" s="159"/>
      <c r="N38" s="160">
        <v>0</v>
      </c>
      <c r="O38" s="160">
        <v>0</v>
      </c>
      <c r="P38" s="152"/>
      <c r="Q38" s="161">
        <f ca="1">+V38/$V$46 * $Q$46</f>
        <v>9968.9474605883279</v>
      </c>
      <c r="R38" s="162">
        <f t="shared" ref="R38" ca="1" si="24">I38+L38+P38+Q38</f>
        <v>56634.132759687287</v>
      </c>
      <c r="S38" s="162"/>
      <c r="T38" s="163">
        <f t="shared" ref="T38" ca="1" si="25">+G38+R38</f>
        <v>56634.132759687287</v>
      </c>
      <c r="U38" s="514">
        <v>-34684.689405981684</v>
      </c>
      <c r="V38" s="157">
        <f t="shared" ref="V38" ca="1" si="26">+I38+L38+P38</f>
        <v>46665.185299098957</v>
      </c>
      <c r="W38" t="s">
        <v>300</v>
      </c>
    </row>
    <row r="39" spans="1:23">
      <c r="A39" s="164" t="s">
        <v>301</v>
      </c>
      <c r="B39" s="132" t="s">
        <v>182</v>
      </c>
      <c r="C39" s="149" t="str">
        <f t="shared" ca="1" si="0"/>
        <v>Pryor Junction 138/115 kV</v>
      </c>
      <c r="D39" s="150">
        <f t="shared" ca="1" si="0"/>
        <v>2022</v>
      </c>
      <c r="E39" s="159">
        <v>0</v>
      </c>
      <c r="F39" s="160">
        <f t="shared" ca="1" si="0"/>
        <v>0</v>
      </c>
      <c r="G39" s="160">
        <f t="shared" ca="1" si="21"/>
        <v>0</v>
      </c>
      <c r="H39" s="135"/>
      <c r="I39" s="153">
        <f t="shared" ca="1" si="2"/>
        <v>65416.501334482571</v>
      </c>
      <c r="J39" s="511">
        <v>993019.0319093751</v>
      </c>
      <c r="K39" s="154">
        <f t="shared" ref="K39:K43" si="27">J39/(J$46)*K$46</f>
        <v>993446.9154650413</v>
      </c>
      <c r="L39" s="159">
        <f t="shared" ref="L39:L43" si="28">+J39-K39</f>
        <v>-427.8835556661943</v>
      </c>
      <c r="M39" s="159"/>
      <c r="N39" s="160">
        <v>0</v>
      </c>
      <c r="O39" s="160">
        <v>0</v>
      </c>
      <c r="P39" s="152"/>
      <c r="Q39" s="161">
        <f ca="1">+V39/$V$46 * $Q$46</f>
        <v>13883.328910424074</v>
      </c>
      <c r="R39" s="162">
        <f t="shared" ref="R39" ca="1" si="29">I39+L39+P39+Q39</f>
        <v>78871.946689240445</v>
      </c>
      <c r="S39" s="162"/>
      <c r="T39" s="163">
        <f t="shared" ref="T39" ca="1" si="30">+G39+R39</f>
        <v>78871.946689240445</v>
      </c>
      <c r="U39" s="514">
        <v>-59292.319483046318</v>
      </c>
      <c r="V39" s="157">
        <f t="shared" ref="V39" ca="1" si="31">+I39+L39+P39</f>
        <v>64988.617778816377</v>
      </c>
      <c r="W39" t="s">
        <v>301</v>
      </c>
    </row>
    <row r="40" spans="1:23">
      <c r="A40" s="164" t="s">
        <v>302</v>
      </c>
      <c r="B40" s="132" t="s">
        <v>182</v>
      </c>
      <c r="C40" s="149" t="str">
        <f t="shared" ca="1" si="0"/>
        <v>Chisholm Substation 345 kV Terminal Upgrades</v>
      </c>
      <c r="D40" s="150">
        <f t="shared" ca="1" si="0"/>
        <v>2024</v>
      </c>
      <c r="E40" s="159">
        <v>0</v>
      </c>
      <c r="F40" s="160">
        <f t="shared" ca="1" si="0"/>
        <v>0</v>
      </c>
      <c r="G40" s="160">
        <f t="shared" ca="1" si="21"/>
        <v>0</v>
      </c>
      <c r="H40" s="135"/>
      <c r="I40" s="153">
        <f t="shared" ca="1" si="2"/>
        <v>-704905.30501680297</v>
      </c>
      <c r="J40" s="511">
        <v>1541510.0505616863</v>
      </c>
      <c r="K40" s="154">
        <f t="shared" si="27"/>
        <v>1542174.2742878529</v>
      </c>
      <c r="L40" s="159">
        <f t="shared" si="28"/>
        <v>-664.22372616664506</v>
      </c>
      <c r="M40" s="159"/>
      <c r="N40" s="160">
        <v>0</v>
      </c>
      <c r="O40" s="160">
        <v>0</v>
      </c>
      <c r="P40" s="152"/>
      <c r="Q40" s="161">
        <f t="shared" ref="Q40:Q43" ca="1" si="32">+V40/$V$46 * $Q$46</f>
        <v>-150728.76099704555</v>
      </c>
      <c r="R40" s="162">
        <f t="shared" ref="R40:R43" ca="1" si="33">I40+L40+P40+Q40</f>
        <v>-856298.28974001517</v>
      </c>
      <c r="S40" s="162"/>
      <c r="T40" s="163">
        <f t="shared" ref="T40:T43" ca="1" si="34">+G40+R40</f>
        <v>-856298.28974001517</v>
      </c>
      <c r="U40" s="514">
        <v>-153191.47658356014</v>
      </c>
      <c r="V40" s="157">
        <f t="shared" ref="V40:V43" ca="1" si="35">+I40+L40+P40</f>
        <v>-705569.52874296962</v>
      </c>
      <c r="W40" t="s">
        <v>302</v>
      </c>
    </row>
    <row r="41" spans="1:23">
      <c r="A41" s="164" t="s">
        <v>303</v>
      </c>
      <c r="B41" s="132" t="s">
        <v>182</v>
      </c>
      <c r="C41" s="149" t="str">
        <f t="shared" ref="C41:D43" ca="1" si="36">INDIRECT("'"&amp; $A41 &amp; "'!" &amp;C$53)</f>
        <v>SW Power Station 138 kV</v>
      </c>
      <c r="D41" s="150">
        <f t="shared" ca="1" si="36"/>
        <v>2025</v>
      </c>
      <c r="E41" s="159">
        <v>0</v>
      </c>
      <c r="F41" s="160">
        <f t="shared" ref="F41:F43" ca="1" si="37">INDIRECT("'"&amp; $A41 &amp; "'!" &amp;F$53)</f>
        <v>0</v>
      </c>
      <c r="G41" s="160">
        <f t="shared" ca="1" si="21"/>
        <v>0</v>
      </c>
      <c r="H41" s="135"/>
      <c r="I41" s="153">
        <f t="shared" ca="1" si="2"/>
        <v>247136.34811629273</v>
      </c>
      <c r="J41" s="511">
        <v>295261.11661994696</v>
      </c>
      <c r="K41" s="154">
        <f t="shared" si="27"/>
        <v>295388.34215376817</v>
      </c>
      <c r="L41" s="159">
        <f t="shared" si="28"/>
        <v>-127.22553382121259</v>
      </c>
      <c r="M41" s="159"/>
      <c r="N41" s="160">
        <v>0</v>
      </c>
      <c r="O41" s="160">
        <v>0</v>
      </c>
      <c r="P41" s="152"/>
      <c r="Q41" s="161">
        <f t="shared" ca="1" si="32"/>
        <v>52767.838583043762</v>
      </c>
      <c r="R41" s="162">
        <f t="shared" ca="1" si="33"/>
        <v>299776.9611655153</v>
      </c>
      <c r="S41" s="162"/>
      <c r="T41" s="163">
        <f t="shared" ca="1" si="34"/>
        <v>299776.9611655153</v>
      </c>
      <c r="U41" s="514">
        <v>-30158.121189950372</v>
      </c>
      <c r="V41" s="157">
        <f t="shared" ca="1" si="35"/>
        <v>247009.12258247152</v>
      </c>
      <c r="W41" t="s">
        <v>303</v>
      </c>
    </row>
    <row r="42" spans="1:23">
      <c r="A42" s="164" t="s">
        <v>304</v>
      </c>
      <c r="B42" s="132" t="s">
        <v>182</v>
      </c>
      <c r="C42" s="149" t="str">
        <f t="shared" ca="1" si="36"/>
        <v>Sooner - Wekiwa 345 kV Terminal Upgrades</v>
      </c>
      <c r="D42" s="150">
        <f t="shared" ca="1" si="36"/>
        <v>2025</v>
      </c>
      <c r="E42" s="159">
        <v>0</v>
      </c>
      <c r="F42" s="160">
        <f t="shared" ca="1" si="37"/>
        <v>0</v>
      </c>
      <c r="G42" s="160">
        <f t="shared" ca="1" si="21"/>
        <v>0</v>
      </c>
      <c r="H42" s="135"/>
      <c r="I42" s="153">
        <f t="shared" ca="1" si="2"/>
        <v>234976.56533593161</v>
      </c>
      <c r="J42" s="511">
        <v>265125.09522880119</v>
      </c>
      <c r="K42" s="154">
        <f t="shared" si="27"/>
        <v>265239.33540426358</v>
      </c>
      <c r="L42" s="159">
        <f t="shared" si="28"/>
        <v>-114.24017546238611</v>
      </c>
      <c r="M42" s="159"/>
      <c r="N42" s="160">
        <v>0</v>
      </c>
      <c r="O42" s="160">
        <v>0</v>
      </c>
      <c r="P42" s="152"/>
      <c r="Q42" s="161">
        <f t="shared" ca="1" si="32"/>
        <v>50172.953669628696</v>
      </c>
      <c r="R42" s="162">
        <f t="shared" ca="1" si="33"/>
        <v>285035.27883009793</v>
      </c>
      <c r="S42" s="162"/>
      <c r="T42" s="163">
        <f t="shared" ca="1" si="34"/>
        <v>285035.27883009793</v>
      </c>
      <c r="U42" s="514">
        <v>-55600.257140782633</v>
      </c>
      <c r="V42" s="157">
        <f t="shared" ca="1" si="35"/>
        <v>234862.32516046922</v>
      </c>
      <c r="W42" t="s">
        <v>304</v>
      </c>
    </row>
    <row r="43" spans="1:23" ht="25.5">
      <c r="A43" s="164" t="s">
        <v>305</v>
      </c>
      <c r="B43" s="132" t="s">
        <v>182</v>
      </c>
      <c r="C43" s="149" t="str">
        <f t="shared" ca="1" si="36"/>
        <v>Line - Osage - Webb City Tap - Shidler 138 kV Rebuild</v>
      </c>
      <c r="D43" s="150">
        <f t="shared" ca="1" si="36"/>
        <v>2024</v>
      </c>
      <c r="E43" s="159">
        <v>0</v>
      </c>
      <c r="F43" s="160">
        <f t="shared" ca="1" si="37"/>
        <v>0</v>
      </c>
      <c r="G43" s="160">
        <f t="shared" ca="1" si="21"/>
        <v>0</v>
      </c>
      <c r="H43" s="135"/>
      <c r="I43" s="153">
        <f t="shared" ca="1" si="2"/>
        <v>228953.83183333708</v>
      </c>
      <c r="J43" s="511">
        <v>859697.94257622364</v>
      </c>
      <c r="K43" s="154">
        <f t="shared" si="27"/>
        <v>860068.37919490656</v>
      </c>
      <c r="L43" s="159">
        <f t="shared" si="28"/>
        <v>-370.43661868292838</v>
      </c>
      <c r="M43" s="159"/>
      <c r="N43" s="160">
        <v>0</v>
      </c>
      <c r="O43" s="160">
        <v>0</v>
      </c>
      <c r="P43" s="152"/>
      <c r="Q43" s="161">
        <f t="shared" ca="1" si="32"/>
        <v>48831.604174553315</v>
      </c>
      <c r="R43" s="162">
        <f t="shared" ca="1" si="33"/>
        <v>277414.99938920746</v>
      </c>
      <c r="S43" s="162"/>
      <c r="T43" s="163">
        <f t="shared" ca="1" si="34"/>
        <v>277414.99938920746</v>
      </c>
      <c r="U43" s="514">
        <v>-61121.482637726105</v>
      </c>
      <c r="V43" s="157">
        <f t="shared" ca="1" si="35"/>
        <v>228583.39521465416</v>
      </c>
      <c r="W43" t="s">
        <v>305</v>
      </c>
    </row>
    <row r="44" spans="1:23">
      <c r="A44" s="164"/>
      <c r="B44" s="132"/>
      <c r="C44" s="149"/>
      <c r="D44" s="150"/>
      <c r="E44" s="159"/>
      <c r="F44" s="160"/>
      <c r="G44" s="160"/>
      <c r="H44" s="135"/>
      <c r="I44" s="153"/>
      <c r="J44" s="511"/>
      <c r="K44" s="154"/>
      <c r="L44" s="159"/>
      <c r="M44" s="159"/>
      <c r="N44" s="160"/>
      <c r="O44" s="160"/>
      <c r="P44" s="152"/>
      <c r="Q44" s="161"/>
      <c r="R44" s="162"/>
      <c r="S44" s="162"/>
      <c r="T44" s="163"/>
      <c r="V44" s="157"/>
    </row>
    <row r="45" spans="1:23">
      <c r="A45" s="135"/>
      <c r="B45" s="135"/>
      <c r="C45" s="135"/>
      <c r="D45" s="132"/>
      <c r="E45" s="162"/>
      <c r="F45" s="162"/>
      <c r="G45" s="162"/>
      <c r="H45" s="155"/>
      <c r="I45" s="162"/>
      <c r="J45" s="162"/>
      <c r="K45" s="165"/>
      <c r="L45" s="162"/>
      <c r="M45" s="162"/>
      <c r="N45" s="162"/>
      <c r="O45" s="162"/>
      <c r="P45" s="162"/>
      <c r="Q45" s="162"/>
      <c r="R45" s="162"/>
      <c r="S45" s="155"/>
      <c r="T45" s="163"/>
      <c r="V45" s="148"/>
    </row>
    <row r="46" spans="1:23">
      <c r="A46" s="135"/>
      <c r="B46" s="135"/>
      <c r="C46" s="166" t="s">
        <v>183</v>
      </c>
      <c r="D46" s="167"/>
      <c r="E46" s="168">
        <f>SUM(E18:E45)</f>
        <v>0</v>
      </c>
      <c r="F46" s="168">
        <f ca="1">SUM(F18:F45)</f>
        <v>0</v>
      </c>
      <c r="G46" s="168">
        <f ca="1">SUM(G18:G45)</f>
        <v>0</v>
      </c>
      <c r="H46" s="168"/>
      <c r="I46" s="168">
        <f ca="1">SUM(I18:I45)</f>
        <v>-4213241.0195629504</v>
      </c>
      <c r="J46" s="168">
        <f>SUM(J18:J45)</f>
        <v>42787308.148496963</v>
      </c>
      <c r="K46" s="510">
        <v>42805744.840000004</v>
      </c>
      <c r="L46" s="168">
        <f>SUM(L18:L45)</f>
        <v>-18436.6915030407</v>
      </c>
      <c r="M46" s="168"/>
      <c r="N46" s="168">
        <f>SUM(N18:N45)</f>
        <v>0</v>
      </c>
      <c r="O46" s="168">
        <f>SUM(O18:O45)</f>
        <v>0</v>
      </c>
      <c r="P46" s="168">
        <f>SUM(P18:P45)</f>
        <v>0</v>
      </c>
      <c r="Q46" s="169">
        <v>-904000.96991737653</v>
      </c>
      <c r="R46" s="168">
        <f ca="1">SUM(R18:R45)</f>
        <v>-5135678.6809833664</v>
      </c>
      <c r="S46" s="168"/>
      <c r="T46" s="168">
        <f ca="1">SUM(T18:T45)</f>
        <v>-5135678.6809833664</v>
      </c>
      <c r="U46" s="168">
        <f>SUM(U18:U45)</f>
        <v>-3161231.2640183168</v>
      </c>
      <c r="V46" s="170">
        <f ca="1">SUM(V18:V45)</f>
        <v>-4231677.7110659927</v>
      </c>
      <c r="W46" s="171" t="s">
        <v>180</v>
      </c>
    </row>
    <row r="47" spans="1:23" ht="13.5" thickBot="1">
      <c r="A47" s="135"/>
      <c r="B47" s="135"/>
      <c r="C47" s="172"/>
      <c r="D47" s="135"/>
      <c r="E47" s="173"/>
      <c r="F47" s="174" t="str">
        <f ca="1">IF(F46='OKT.WS.F.BPU.ATRR.Projected'!O19,"","Error")</f>
        <v/>
      </c>
      <c r="G47" s="175"/>
      <c r="H47" s="135"/>
      <c r="J47" s="176"/>
      <c r="K47" s="177"/>
      <c r="L47" s="177"/>
      <c r="M47" s="177"/>
      <c r="N47" s="177"/>
      <c r="O47" s="177"/>
      <c r="P47" s="177"/>
      <c r="Q47" s="177"/>
      <c r="R47" s="155"/>
      <c r="S47" s="155"/>
      <c r="T47" s="155"/>
      <c r="V47" s="178"/>
      <c r="W47" s="171"/>
    </row>
    <row r="48" spans="1:23">
      <c r="A48" s="135"/>
      <c r="B48" s="135"/>
      <c r="C48" s="179" t="s">
        <v>212</v>
      </c>
      <c r="D48" s="135"/>
      <c r="E48" s="155"/>
      <c r="F48" s="155"/>
      <c r="G48" s="155"/>
      <c r="H48" s="135"/>
      <c r="I48" s="180"/>
      <c r="J48" s="180"/>
      <c r="K48" s="135" t="s">
        <v>289</v>
      </c>
      <c r="L48" s="135"/>
      <c r="M48" s="135"/>
      <c r="N48" s="177"/>
      <c r="O48" s="177"/>
      <c r="P48" s="177"/>
      <c r="Q48" s="177"/>
      <c r="R48" s="155"/>
      <c r="S48" s="155"/>
      <c r="T48" s="155"/>
    </row>
    <row r="49" spans="1:22">
      <c r="A49" s="135"/>
      <c r="B49" s="135"/>
      <c r="C49" s="181" t="s">
        <v>157</v>
      </c>
      <c r="D49" s="135"/>
      <c r="E49" s="155"/>
      <c r="F49" s="155"/>
      <c r="G49" s="155"/>
      <c r="H49" s="135"/>
      <c r="J49" s="182"/>
      <c r="L49" s="135"/>
      <c r="M49" s="135"/>
      <c r="N49" s="177"/>
      <c r="O49" s="177"/>
      <c r="P49" s="177"/>
      <c r="Q49" s="177"/>
      <c r="R49" s="177"/>
      <c r="S49" s="135"/>
      <c r="T49" s="135"/>
    </row>
    <row r="50" spans="1:22">
      <c r="E50" s="183"/>
      <c r="F50" s="183"/>
      <c r="G50" s="183"/>
      <c r="I50" s="183"/>
      <c r="J50" s="184"/>
      <c r="N50" s="185"/>
      <c r="O50" s="185"/>
      <c r="P50" s="185"/>
      <c r="Q50" s="185"/>
      <c r="R50" s="185"/>
    </row>
    <row r="51" spans="1:22">
      <c r="E51" s="183"/>
      <c r="F51" s="183"/>
      <c r="G51" s="183"/>
    </row>
    <row r="52" spans="1:22">
      <c r="A52" s="186" t="s">
        <v>158</v>
      </c>
      <c r="B52" s="187"/>
      <c r="C52" s="187"/>
      <c r="D52" s="187"/>
      <c r="E52" s="188"/>
      <c r="F52" s="188"/>
      <c r="G52" s="188"/>
      <c r="H52" s="187"/>
      <c r="I52" s="187"/>
      <c r="J52" s="187"/>
      <c r="K52" s="187"/>
      <c r="L52" s="187"/>
      <c r="M52" s="187"/>
      <c r="N52" s="187"/>
      <c r="O52" s="189"/>
      <c r="V52" t="s">
        <v>171</v>
      </c>
    </row>
    <row r="53" spans="1:22" ht="15.75">
      <c r="A53" s="190" t="s">
        <v>161</v>
      </c>
      <c r="C53" s="136" t="str">
        <f ca="1">RIGHT(CELL("address",OKT.001!D7),4)</f>
        <v>$D$7</v>
      </c>
      <c r="D53" s="136" t="str">
        <f ca="1">RIGHT(CELL("address",OKT.001!D11),4)</f>
        <v>D$11</v>
      </c>
      <c r="E53" s="136" t="str">
        <f ca="1">RIGHT(CELL("address",OKT.001!N5),4)</f>
        <v>$N$5</v>
      </c>
      <c r="F53" s="136" t="str">
        <f ca="1">RIGHT(CELL("address",OKT.001!N7),4)</f>
        <v>$N$7</v>
      </c>
      <c r="H53" s="130"/>
      <c r="I53" s="136" t="str">
        <f ca="1">RIGHT(CELL("address",OKT.001!M90),4)</f>
        <v>M$90</v>
      </c>
      <c r="J53" s="136"/>
      <c r="N53" s="136" t="str">
        <f ca="1">RIGHT(CELL("address",OKT.001!N88),4)</f>
        <v>N$88</v>
      </c>
      <c r="O53" s="191" t="str">
        <f ca="1">RIGHT(CELL("address",OKT.001!N89),4)</f>
        <v>N$89</v>
      </c>
      <c r="P53" s="25" t="s">
        <v>160</v>
      </c>
      <c r="V53" t="s">
        <v>172</v>
      </c>
    </row>
    <row r="54" spans="1:22">
      <c r="A54" s="192" t="s">
        <v>162</v>
      </c>
      <c r="B54" s="193"/>
      <c r="C54" s="193"/>
      <c r="D54" s="193"/>
      <c r="E54" s="194"/>
      <c r="F54" s="194"/>
      <c r="G54" s="194"/>
      <c r="H54" s="193"/>
      <c r="I54" s="193"/>
      <c r="J54" s="193"/>
      <c r="K54" s="193"/>
      <c r="L54" s="193"/>
      <c r="M54" s="193"/>
      <c r="N54" s="193"/>
      <c r="O54" s="195"/>
      <c r="V54" t="s">
        <v>173</v>
      </c>
    </row>
    <row r="55" spans="1:22">
      <c r="E55" s="183"/>
      <c r="F55" s="183"/>
      <c r="G55" s="183"/>
      <c r="V55" t="s">
        <v>174</v>
      </c>
    </row>
    <row r="56" spans="1:22">
      <c r="E56" s="183"/>
      <c r="F56" s="183"/>
      <c r="G56" s="183"/>
      <c r="V56" t="s">
        <v>175</v>
      </c>
    </row>
    <row r="61" spans="1:22" ht="12.75" customHeight="1">
      <c r="G61" s="136"/>
      <c r="I61" s="196"/>
      <c r="J61" s="196"/>
    </row>
    <row r="62" spans="1:22" ht="12.75" customHeight="1">
      <c r="E62" s="197"/>
      <c r="F62" s="197"/>
      <c r="G62" s="198"/>
      <c r="I62" s="197"/>
      <c r="J62" s="199"/>
    </row>
    <row r="63" spans="1:22" ht="12.75" customHeight="1">
      <c r="E63" s="197"/>
      <c r="F63" s="197"/>
      <c r="G63" s="198"/>
      <c r="I63" s="197"/>
      <c r="J63" s="199"/>
    </row>
    <row r="64" spans="1:22" ht="12.75" customHeight="1">
      <c r="E64" s="197"/>
      <c r="F64" s="197"/>
      <c r="G64" s="198"/>
      <c r="I64" s="197"/>
      <c r="J64" s="199"/>
    </row>
    <row r="65" spans="5:10" ht="12.75" customHeight="1">
      <c r="E65" s="197"/>
      <c r="F65" s="197"/>
      <c r="G65" s="198"/>
      <c r="I65" s="197"/>
      <c r="J65" s="199"/>
    </row>
    <row r="66" spans="5:10" ht="12.75" customHeight="1">
      <c r="E66" s="197"/>
      <c r="F66" s="197"/>
      <c r="G66" s="198"/>
      <c r="I66" s="197"/>
      <c r="J66" s="199"/>
    </row>
    <row r="67" spans="5:10" ht="12.75" customHeight="1">
      <c r="E67" s="197"/>
      <c r="F67" s="197"/>
      <c r="G67" s="198"/>
      <c r="I67" s="197"/>
      <c r="J67" s="199"/>
    </row>
    <row r="68" spans="5:10" ht="12.75" customHeight="1">
      <c r="E68" s="197"/>
      <c r="F68" s="197"/>
      <c r="G68" s="198"/>
      <c r="I68" s="197"/>
      <c r="J68" s="199"/>
    </row>
    <row r="69" spans="5:10" ht="12.75" customHeight="1">
      <c r="E69" s="197"/>
      <c r="F69" s="197"/>
      <c r="G69" s="198"/>
      <c r="I69" s="197"/>
      <c r="J69" s="199"/>
    </row>
    <row r="70" spans="5:10" ht="12.75" customHeight="1">
      <c r="E70" s="197"/>
      <c r="F70" s="197"/>
      <c r="G70" s="198"/>
      <c r="I70" s="197"/>
      <c r="J70" s="199"/>
    </row>
    <row r="71" spans="5:10" ht="12.75" customHeight="1">
      <c r="E71" s="197"/>
      <c r="F71" s="197"/>
      <c r="G71" s="198"/>
      <c r="I71" s="197"/>
      <c r="J71" s="199"/>
    </row>
    <row r="72" spans="5:10" ht="12.75" customHeight="1">
      <c r="E72" s="197"/>
      <c r="F72" s="197"/>
      <c r="G72" s="198"/>
      <c r="I72" s="197"/>
      <c r="J72" s="199"/>
    </row>
    <row r="73" spans="5:10" ht="12.75" customHeight="1">
      <c r="E73" s="197"/>
      <c r="F73" s="197"/>
      <c r="G73" s="198"/>
      <c r="I73" s="197"/>
      <c r="J73" s="199"/>
    </row>
    <row r="74" spans="5:10" ht="12.75" customHeight="1">
      <c r="E74" s="197"/>
      <c r="F74" s="197"/>
      <c r="G74" s="198"/>
      <c r="I74" s="197"/>
      <c r="J74" s="199"/>
    </row>
    <row r="75" spans="5:10" ht="12.75" customHeight="1">
      <c r="E75" s="197"/>
      <c r="F75" s="197"/>
      <c r="G75" s="198"/>
      <c r="I75" s="197"/>
      <c r="J75" s="199"/>
    </row>
    <row r="76" spans="5:10" ht="12.75" customHeight="1">
      <c r="E76" s="197"/>
      <c r="F76" s="197"/>
      <c r="G76" s="198"/>
      <c r="I76" s="197"/>
      <c r="J76" s="199"/>
    </row>
    <row r="77" spans="5:10" ht="12.75" customHeight="1">
      <c r="E77" s="197"/>
      <c r="F77" s="197"/>
      <c r="G77" s="198"/>
      <c r="I77" s="197"/>
      <c r="J77" s="199"/>
    </row>
    <row r="78" spans="5:10" ht="12.75" customHeight="1">
      <c r="E78" s="197"/>
      <c r="F78" s="197"/>
      <c r="G78" s="198"/>
      <c r="I78" s="197"/>
      <c r="J78" s="199"/>
    </row>
    <row r="79" spans="5:10" ht="12.75" customHeight="1">
      <c r="E79" s="197"/>
      <c r="F79" s="197"/>
      <c r="G79" s="198"/>
      <c r="I79" s="197"/>
      <c r="J79" s="199"/>
    </row>
    <row r="80" spans="5:10" ht="12.75" customHeight="1">
      <c r="E80" s="197"/>
      <c r="F80" s="197"/>
      <c r="G80" s="198"/>
      <c r="I80" s="197"/>
      <c r="J80" s="199"/>
    </row>
    <row r="81" spans="5:10" ht="12.75" customHeight="1">
      <c r="E81" s="197"/>
      <c r="F81" s="197"/>
      <c r="I81" s="197"/>
      <c r="J81" s="199"/>
    </row>
    <row r="82" spans="5:10" ht="12.75" customHeight="1">
      <c r="E82" s="197"/>
      <c r="F82" s="197"/>
      <c r="G82" s="198"/>
      <c r="I82" s="197"/>
      <c r="J82" s="199"/>
    </row>
  </sheetData>
  <mergeCells count="2">
    <mergeCell ref="E13:G13"/>
    <mergeCell ref="T14:T16"/>
  </mergeCells>
  <phoneticPr fontId="62" type="noConversion"/>
  <pageMargins left="0.5" right="0.5" top="1" bottom="1" header="0.65" footer="0.5"/>
  <pageSetup scale="53" orientation="landscape" r:id="rId1"/>
  <headerFooter alignWithMargins="0">
    <oddHeader xml:space="preserve">&amp;R&amp;16AEPTCo - SPP Formula Rate
Schedule 11 Revenue Requirements
&amp;A
Page: &amp;P of &amp;N
</oddHeader>
    <oddFooter>&amp;L&amp;A</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9"/>
  <dimension ref="A1:U163"/>
  <sheetViews>
    <sheetView topLeftCell="A78" zoomScaleNormal="100" zoomScaleSheetLayoutView="80" workbookViewId="0">
      <selection activeCell="K103" sqref="K103"/>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8.5703125" customWidth="1"/>
    <col min="11" max="11" width="17.7109375" customWidth="1"/>
    <col min="12" max="12" width="16.140625" customWidth="1"/>
    <col min="13" max="13" width="18.7109375" customWidth="1"/>
    <col min="14" max="14" width="20.42578125" customWidth="1"/>
    <col min="15" max="15" width="20"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7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1164313.8653618579</v>
      </c>
      <c r="P5" s="1"/>
      <c r="R5" s="1"/>
      <c r="S5" s="1"/>
      <c r="T5" s="1"/>
      <c r="U5" s="1"/>
    </row>
    <row r="6" spans="1:21" ht="15.75">
      <c r="C6" s="6"/>
      <c r="D6" s="2"/>
      <c r="E6" s="1"/>
      <c r="F6" s="1"/>
      <c r="G6" s="1"/>
      <c r="H6" s="351"/>
      <c r="I6" s="351"/>
      <c r="J6" s="352"/>
      <c r="K6" s="22" t="s">
        <v>243</v>
      </c>
      <c r="L6" s="353"/>
      <c r="M6" s="1"/>
      <c r="N6" s="354">
        <f>VLOOKUP(I10,C17:I73,6)</f>
        <v>1164313.8653618579</v>
      </c>
      <c r="O6" s="1"/>
      <c r="P6" s="1"/>
      <c r="R6" s="1"/>
      <c r="S6" s="1"/>
      <c r="T6" s="1"/>
      <c r="U6" s="1"/>
    </row>
    <row r="7" spans="1:21" ht="13.5" thickBot="1">
      <c r="C7" s="25" t="s">
        <v>46</v>
      </c>
      <c r="D7" s="96" t="s">
        <v>214</v>
      </c>
      <c r="E7" s="1"/>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213</v>
      </c>
      <c r="E9" s="31" t="s">
        <v>310</v>
      </c>
      <c r="F9" s="526">
        <v>30346</v>
      </c>
      <c r="G9" s="31"/>
      <c r="H9" s="31"/>
      <c r="I9" s="32"/>
      <c r="J9" s="33"/>
      <c r="P9" s="1"/>
      <c r="R9" s="1"/>
      <c r="S9" s="1"/>
      <c r="T9" s="1"/>
      <c r="U9" s="1"/>
    </row>
    <row r="10" spans="1:21">
      <c r="C10" s="34" t="s">
        <v>49</v>
      </c>
      <c r="D10" s="358">
        <v>10218098.369999999</v>
      </c>
      <c r="E10" s="1" t="s">
        <v>50</v>
      </c>
      <c r="G10" s="2"/>
      <c r="H10" s="2"/>
      <c r="I10" s="36">
        <f>+'OKT.WS.F.BPU.ATRR.Projected'!R100</f>
        <v>2025</v>
      </c>
      <c r="J10" s="33"/>
      <c r="K10" s="242" t="s">
        <v>51</v>
      </c>
      <c r="O10" s="1"/>
      <c r="P10" s="1"/>
      <c r="R10" s="1"/>
      <c r="S10" s="1"/>
      <c r="T10" s="1"/>
      <c r="U10" s="1"/>
    </row>
    <row r="11" spans="1:21">
      <c r="C11" s="34" t="s">
        <v>52</v>
      </c>
      <c r="D11" s="37">
        <v>2014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10</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340603.27899999998</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73" si="0">IF(D17=F16,"","IU")</f>
        <v>IU</v>
      </c>
      <c r="C17" s="49">
        <f>IF(D11= "","-",D11)</f>
        <v>2014</v>
      </c>
      <c r="D17" s="371">
        <v>10780000</v>
      </c>
      <c r="E17" s="372">
        <v>108783.19956647091</v>
      </c>
      <c r="F17" s="371">
        <v>10671216.80043353</v>
      </c>
      <c r="G17" s="372">
        <v>891533.50922396348</v>
      </c>
      <c r="H17" s="374">
        <v>891533.50922396348</v>
      </c>
      <c r="I17" s="51">
        <v>0</v>
      </c>
      <c r="J17" s="51"/>
      <c r="K17" s="114">
        <f t="shared" ref="K17:K22" si="1">G17</f>
        <v>891533.50922396348</v>
      </c>
      <c r="L17" s="52">
        <f t="shared" ref="L17:L22" si="2">IF(K17&lt;&gt;0,+G17-K17,0)</f>
        <v>0</v>
      </c>
      <c r="M17" s="114">
        <f t="shared" ref="M17:M22" si="3">H17</f>
        <v>891533.50922396348</v>
      </c>
      <c r="N17" s="52">
        <f>IF(M17&lt;&gt;0,+H17-M17,0)</f>
        <v>0</v>
      </c>
      <c r="O17" s="53">
        <f>+N17-L17</f>
        <v>0</v>
      </c>
      <c r="P17" s="1"/>
      <c r="R17" s="1"/>
      <c r="S17" s="1"/>
      <c r="T17" s="1"/>
      <c r="U17" s="1"/>
    </row>
    <row r="18" spans="2:21">
      <c r="B18" t="str">
        <f t="shared" si="0"/>
        <v/>
      </c>
      <c r="C18" s="49">
        <f>IF(D11="","-",+C17+1)</f>
        <v>2015</v>
      </c>
      <c r="D18" s="371">
        <v>10671216.80043353</v>
      </c>
      <c r="E18" s="373">
        <v>177316.90361351607</v>
      </c>
      <c r="F18" s="371">
        <v>10493899.896820014</v>
      </c>
      <c r="G18" s="373">
        <v>1258875.2944357994</v>
      </c>
      <c r="H18" s="374">
        <v>1258875.2944357994</v>
      </c>
      <c r="I18" s="51">
        <v>0</v>
      </c>
      <c r="J18" s="51"/>
      <c r="K18" s="376">
        <f t="shared" si="1"/>
        <v>1258875.2944357994</v>
      </c>
      <c r="L18" s="53">
        <f t="shared" si="2"/>
        <v>0</v>
      </c>
      <c r="M18" s="376">
        <f t="shared" si="3"/>
        <v>1258875.2944357994</v>
      </c>
      <c r="N18" s="53">
        <f>IF(M18&lt;&gt;0,+H18-M18,0)</f>
        <v>0</v>
      </c>
      <c r="O18" s="53">
        <f>+N18-L18</f>
        <v>0</v>
      </c>
      <c r="P18" s="1"/>
      <c r="R18" s="1"/>
      <c r="S18" s="1"/>
      <c r="T18" s="1"/>
      <c r="U18" s="1"/>
    </row>
    <row r="19" spans="2:21">
      <c r="B19" t="str">
        <f t="shared" si="0"/>
        <v>IU</v>
      </c>
      <c r="C19" s="49">
        <f>IF(D11="","-",+C18+1)</f>
        <v>2016</v>
      </c>
      <c r="D19" s="371">
        <v>9931637.8968200125</v>
      </c>
      <c r="E19" s="373">
        <v>212319.01830997164</v>
      </c>
      <c r="F19" s="371">
        <v>9719318.8785100412</v>
      </c>
      <c r="G19" s="373">
        <v>1260842.7357894429</v>
      </c>
      <c r="H19" s="374">
        <v>1260842.7357894429</v>
      </c>
      <c r="I19" s="51">
        <f>H19-G19</f>
        <v>0</v>
      </c>
      <c r="J19" s="51"/>
      <c r="K19" s="376">
        <f t="shared" si="1"/>
        <v>1260842.7357894429</v>
      </c>
      <c r="L19" s="53">
        <f t="shared" si="2"/>
        <v>0</v>
      </c>
      <c r="M19" s="376">
        <f t="shared" si="3"/>
        <v>1260842.7357894429</v>
      </c>
      <c r="N19" s="53">
        <f t="shared" ref="N19:N73" si="4">IF(M19&lt;&gt;0,+H19-M19,0)</f>
        <v>0</v>
      </c>
      <c r="O19" s="53">
        <f t="shared" ref="O19:O73" si="5">+N19-L19</f>
        <v>0</v>
      </c>
      <c r="P19" s="1"/>
      <c r="R19" s="1"/>
      <c r="S19" s="1"/>
      <c r="T19" s="1"/>
      <c r="U19" s="1"/>
    </row>
    <row r="20" spans="2:21">
      <c r="B20" t="str">
        <f t="shared" si="0"/>
        <v>IU</v>
      </c>
      <c r="C20" s="49">
        <f>IF(D11="","-",+C19+1)</f>
        <v>2017</v>
      </c>
      <c r="D20" s="371">
        <v>9719678.8785100412</v>
      </c>
      <c r="E20" s="373">
        <v>200908.03630390498</v>
      </c>
      <c r="F20" s="371">
        <v>9518770.8422061354</v>
      </c>
      <c r="G20" s="373">
        <v>1258445.35153371</v>
      </c>
      <c r="H20" s="374">
        <v>1258445.35153371</v>
      </c>
      <c r="I20" s="51">
        <f t="shared" ref="I20:I73" si="6">H20-G20</f>
        <v>0</v>
      </c>
      <c r="J20" s="51"/>
      <c r="K20" s="376">
        <f t="shared" si="1"/>
        <v>1258445.35153371</v>
      </c>
      <c r="L20" s="53">
        <f t="shared" si="2"/>
        <v>0</v>
      </c>
      <c r="M20" s="376">
        <f t="shared" si="3"/>
        <v>1258445.35153371</v>
      </c>
      <c r="N20" s="53">
        <f>IF(M20&lt;&gt;0,+H20-M20,0)</f>
        <v>0</v>
      </c>
      <c r="O20" s="53">
        <f>+N20-L20</f>
        <v>0</v>
      </c>
      <c r="P20" s="1"/>
      <c r="R20" s="1"/>
      <c r="S20" s="1"/>
      <c r="T20" s="1"/>
      <c r="U20" s="1"/>
    </row>
    <row r="21" spans="2:21">
      <c r="B21" t="str">
        <f t="shared" si="0"/>
        <v/>
      </c>
      <c r="C21" s="49">
        <f>IF(D11="","-",+C20+1)</f>
        <v>2018</v>
      </c>
      <c r="D21" s="371">
        <v>9518770.8422061354</v>
      </c>
      <c r="E21" s="373">
        <v>250594.58163414692</v>
      </c>
      <c r="F21" s="371">
        <v>9268176.2605719883</v>
      </c>
      <c r="G21" s="373">
        <v>1205193.6465713971</v>
      </c>
      <c r="H21" s="374">
        <v>1205193.6465713971</v>
      </c>
      <c r="I21" s="51">
        <v>0</v>
      </c>
      <c r="J21" s="51"/>
      <c r="K21" s="376">
        <f t="shared" si="1"/>
        <v>1205193.6465713971</v>
      </c>
      <c r="L21" s="53">
        <f t="shared" si="2"/>
        <v>0</v>
      </c>
      <c r="M21" s="376">
        <f t="shared" si="3"/>
        <v>1205193.6465713971</v>
      </c>
      <c r="N21" s="53">
        <f>IF(M21&lt;&gt;0,+H21-M21,0)</f>
        <v>0</v>
      </c>
      <c r="O21" s="53">
        <f>+N21-L21</f>
        <v>0</v>
      </c>
      <c r="P21" s="1"/>
      <c r="R21" s="1"/>
      <c r="S21" s="1"/>
      <c r="T21" s="1"/>
      <c r="U21" s="1"/>
    </row>
    <row r="22" spans="2:21">
      <c r="B22" t="str">
        <f t="shared" si="0"/>
        <v/>
      </c>
      <c r="C22" s="49">
        <f>IF(D11="","-",+C21+1)</f>
        <v>2019</v>
      </c>
      <c r="D22" s="371">
        <v>9268176.2605719883</v>
      </c>
      <c r="E22" s="373">
        <v>303057.00441769959</v>
      </c>
      <c r="F22" s="371">
        <v>8965119.2561542895</v>
      </c>
      <c r="G22" s="373">
        <v>1250604.5823260741</v>
      </c>
      <c r="H22" s="374">
        <v>1250604.5823260741</v>
      </c>
      <c r="I22" s="51">
        <f t="shared" si="6"/>
        <v>0</v>
      </c>
      <c r="J22" s="51"/>
      <c r="K22" s="376">
        <f t="shared" si="1"/>
        <v>1250604.5823260741</v>
      </c>
      <c r="L22" s="53">
        <f t="shared" si="2"/>
        <v>0</v>
      </c>
      <c r="M22" s="376">
        <f t="shared" si="3"/>
        <v>1250604.5823260741</v>
      </c>
      <c r="N22" s="53">
        <f>IF(M22&lt;&gt;0,+H22-M22,0)</f>
        <v>0</v>
      </c>
      <c r="O22" s="53">
        <f>+N22-L22</f>
        <v>0</v>
      </c>
      <c r="P22" s="1"/>
      <c r="R22" s="1"/>
      <c r="S22" s="1"/>
      <c r="T22" s="1"/>
      <c r="U22" s="1"/>
    </row>
    <row r="23" spans="2:21">
      <c r="B23" t="str">
        <f t="shared" si="0"/>
        <v>IU</v>
      </c>
      <c r="C23" s="49">
        <f>IF(D11="","-",+C22+1)</f>
        <v>2020</v>
      </c>
      <c r="D23" s="371">
        <v>9017581.6789378412</v>
      </c>
      <c r="E23" s="373">
        <v>299204.10245587147</v>
      </c>
      <c r="F23" s="371">
        <v>8718377.57648197</v>
      </c>
      <c r="G23" s="373">
        <v>1229743.0760443411</v>
      </c>
      <c r="H23" s="374">
        <v>1229743.0760443411</v>
      </c>
      <c r="I23" s="51">
        <f t="shared" si="6"/>
        <v>0</v>
      </c>
      <c r="J23" s="51"/>
      <c r="K23" s="376">
        <f t="shared" ref="K23" si="7">G23</f>
        <v>1229743.0760443411</v>
      </c>
      <c r="L23" s="53">
        <f t="shared" ref="L23" si="8">IF(K23&lt;&gt;0,+G23-K23,0)</f>
        <v>0</v>
      </c>
      <c r="M23" s="376">
        <f t="shared" ref="M23" si="9">H23</f>
        <v>1229743.0760443411</v>
      </c>
      <c r="N23" s="53">
        <f t="shared" si="4"/>
        <v>0</v>
      </c>
      <c r="O23" s="53">
        <f t="shared" si="5"/>
        <v>0</v>
      </c>
      <c r="P23" s="1"/>
      <c r="R23" s="1"/>
      <c r="S23" s="1"/>
      <c r="T23" s="1"/>
      <c r="U23" s="1"/>
    </row>
    <row r="24" spans="2:21">
      <c r="B24" t="str">
        <f t="shared" si="0"/>
        <v>IU</v>
      </c>
      <c r="C24" s="49">
        <f>IF(D11="","-",+C23+1)</f>
        <v>2021</v>
      </c>
      <c r="D24" s="371">
        <v>8665915.1536984183</v>
      </c>
      <c r="E24" s="373">
        <v>329616.06451612903</v>
      </c>
      <c r="F24" s="371">
        <v>8336299.0891822893</v>
      </c>
      <c r="G24" s="373">
        <v>1249308.9096017922</v>
      </c>
      <c r="H24" s="374">
        <v>1249308.9096017922</v>
      </c>
      <c r="I24" s="51">
        <f t="shared" si="6"/>
        <v>0</v>
      </c>
      <c r="J24" s="51"/>
      <c r="K24" s="376">
        <f t="shared" ref="K24" si="10">G24</f>
        <v>1249308.9096017922</v>
      </c>
      <c r="L24" s="53">
        <f t="shared" ref="L24" si="11">IF(K24&lt;&gt;0,+G24-K24,0)</f>
        <v>0</v>
      </c>
      <c r="M24" s="376">
        <f t="shared" ref="M24" si="12">H24</f>
        <v>1249308.9096017922</v>
      </c>
      <c r="N24" s="53">
        <f t="shared" si="4"/>
        <v>0</v>
      </c>
      <c r="O24" s="53">
        <f t="shared" si="5"/>
        <v>0</v>
      </c>
      <c r="P24" s="1"/>
      <c r="R24" s="1"/>
      <c r="S24" s="1"/>
      <c r="T24" s="1"/>
      <c r="U24" s="1"/>
    </row>
    <row r="25" spans="2:21">
      <c r="B25" t="str">
        <f t="shared" si="0"/>
        <v/>
      </c>
      <c r="C25" s="49">
        <f>IF(D11="","-",+C24+1)</f>
        <v>2022</v>
      </c>
      <c r="D25" s="371">
        <v>8336299.0891822893</v>
      </c>
      <c r="E25" s="373">
        <v>309639.33333333331</v>
      </c>
      <c r="F25" s="371">
        <v>8026659.7558489563</v>
      </c>
      <c r="G25" s="373">
        <v>1248535.8805302577</v>
      </c>
      <c r="H25" s="374">
        <v>1248535.8805302577</v>
      </c>
      <c r="I25" s="51">
        <f t="shared" si="6"/>
        <v>0</v>
      </c>
      <c r="J25" s="51"/>
      <c r="K25" s="376">
        <f t="shared" ref="K25" si="13">G25</f>
        <v>1248535.8805302577</v>
      </c>
      <c r="L25" s="53">
        <f t="shared" ref="L25" si="14">IF(K25&lt;&gt;0,+G25-K25,0)</f>
        <v>0</v>
      </c>
      <c r="M25" s="376">
        <f t="shared" ref="M25" si="15">H25</f>
        <v>1248535.8805302577</v>
      </c>
      <c r="N25" s="53">
        <f t="shared" si="4"/>
        <v>0</v>
      </c>
      <c r="O25" s="53">
        <f t="shared" si="5"/>
        <v>0</v>
      </c>
      <c r="P25" s="1"/>
      <c r="R25" s="1"/>
      <c r="S25" s="1"/>
      <c r="T25" s="1"/>
      <c r="U25" s="1"/>
    </row>
    <row r="26" spans="2:21">
      <c r="B26" t="str">
        <f t="shared" si="0"/>
        <v>IU</v>
      </c>
      <c r="C26" s="49">
        <f>IF(D11="","-",+C25+1)</f>
        <v>2023</v>
      </c>
      <c r="D26" s="371">
        <v>8026660.1258489555</v>
      </c>
      <c r="E26" s="373">
        <v>329616.07645161287</v>
      </c>
      <c r="F26" s="371">
        <v>7697044.0493973428</v>
      </c>
      <c r="G26" s="373">
        <v>1218263.6637873026</v>
      </c>
      <c r="H26" s="374">
        <v>1218263.6637873026</v>
      </c>
      <c r="I26" s="51">
        <f t="shared" si="6"/>
        <v>0</v>
      </c>
      <c r="J26" s="51"/>
      <c r="K26" s="376">
        <f t="shared" ref="K26" si="16">G26</f>
        <v>1218263.6637873026</v>
      </c>
      <c r="L26" s="53">
        <f t="shared" ref="L26" si="17">IF(K26&lt;&gt;0,+G26-K26,0)</f>
        <v>0</v>
      </c>
      <c r="M26" s="376">
        <f t="shared" ref="M26" si="18">H26</f>
        <v>1218263.6637873026</v>
      </c>
      <c r="N26" s="53">
        <f t="shared" si="4"/>
        <v>0</v>
      </c>
      <c r="O26" s="53">
        <f t="shared" si="5"/>
        <v>0</v>
      </c>
      <c r="P26" s="1"/>
      <c r="R26" s="1"/>
      <c r="S26" s="1"/>
      <c r="T26" s="1"/>
      <c r="U26" s="1"/>
    </row>
    <row r="27" spans="2:21">
      <c r="B27" t="str">
        <f t="shared" si="0"/>
        <v/>
      </c>
      <c r="C27" s="49">
        <f>IF(D11="","-",+C26+1)</f>
        <v>2024</v>
      </c>
      <c r="D27" s="371">
        <v>7697044.0493973428</v>
      </c>
      <c r="E27" s="373">
        <v>329616.07645161287</v>
      </c>
      <c r="F27" s="371">
        <v>7367427.9729457302</v>
      </c>
      <c r="G27" s="373">
        <v>1187776.0264947745</v>
      </c>
      <c r="H27" s="374">
        <v>1187776.0264947745</v>
      </c>
      <c r="I27" s="51">
        <f t="shared" si="6"/>
        <v>0</v>
      </c>
      <c r="J27" s="51"/>
      <c r="K27" s="376">
        <f t="shared" ref="K27" si="19">G27</f>
        <v>1187776.0264947745</v>
      </c>
      <c r="L27" s="53">
        <f t="shared" ref="L27" si="20">IF(K27&lt;&gt;0,+G27-K27,0)</f>
        <v>0</v>
      </c>
      <c r="M27" s="376">
        <f t="shared" ref="M27" si="21">H27</f>
        <v>1187776.0264947745</v>
      </c>
      <c r="N27" s="53">
        <f t="shared" ref="N27" si="22">IF(M27&lt;&gt;0,+H27-M27,0)</f>
        <v>0</v>
      </c>
      <c r="O27" s="53">
        <f t="shared" ref="O27" si="23">+N27-L27</f>
        <v>0</v>
      </c>
      <c r="P27" s="1"/>
      <c r="R27" s="1"/>
      <c r="S27" s="1"/>
      <c r="T27" s="1"/>
      <c r="U27" s="1"/>
    </row>
    <row r="28" spans="2:21">
      <c r="B28" t="str">
        <f t="shared" si="0"/>
        <v/>
      </c>
      <c r="C28" s="49">
        <f>IF(D11="","-",+C27+1)</f>
        <v>2025</v>
      </c>
      <c r="D28" s="371">
        <v>7367427.9729457302</v>
      </c>
      <c r="E28" s="373">
        <v>340603.27899999998</v>
      </c>
      <c r="F28" s="371">
        <v>7026824.6939457301</v>
      </c>
      <c r="G28" s="373">
        <v>1164313.8653618579</v>
      </c>
      <c r="H28" s="374">
        <v>1164313.8653618579</v>
      </c>
      <c r="I28" s="51">
        <f t="shared" si="6"/>
        <v>0</v>
      </c>
      <c r="J28" s="51"/>
      <c r="K28" s="376">
        <f t="shared" ref="K28" si="24">G28</f>
        <v>1164313.8653618579</v>
      </c>
      <c r="L28" s="53">
        <f t="shared" ref="L28" si="25">IF(K28&lt;&gt;0,+G28-K28,0)</f>
        <v>0</v>
      </c>
      <c r="M28" s="376">
        <f t="shared" ref="M28" si="26">H28</f>
        <v>1164313.8653618579</v>
      </c>
      <c r="N28" s="53">
        <f t="shared" ref="N28" si="27">IF(M28&lt;&gt;0,+H28-M28,0)</f>
        <v>0</v>
      </c>
      <c r="O28" s="53">
        <f t="shared" ref="O28" si="28">+N28-L28</f>
        <v>0</v>
      </c>
      <c r="P28" s="1"/>
      <c r="R28" s="1"/>
      <c r="S28" s="1"/>
      <c r="T28" s="1"/>
      <c r="U28" s="1"/>
    </row>
    <row r="29" spans="2:21">
      <c r="B29" t="str">
        <f t="shared" si="0"/>
        <v/>
      </c>
      <c r="C29" s="49">
        <f>IF(D11="","-",+C28+1)</f>
        <v>2026</v>
      </c>
      <c r="D29" s="54">
        <f>IF(F28+SUM(E$17:E28)=D$10,F28,D$10-SUM(E$17:E28))</f>
        <v>7026824.6939457301</v>
      </c>
      <c r="E29" s="377">
        <f t="shared" ref="E29:E73" si="29">IF(+$I$14&lt;F28,$I$14,D29)</f>
        <v>340603.27899999998</v>
      </c>
      <c r="F29" s="54">
        <f t="shared" ref="F29:F73" si="30">+D29-E29</f>
        <v>6686221.41494573</v>
      </c>
      <c r="G29" s="378">
        <f t="shared" ref="G29:G73" si="31">(D29+F29)/2*I$12+E29</f>
        <v>1125331.8448076155</v>
      </c>
      <c r="H29" s="359">
        <f t="shared" ref="H29:H73" si="32">+(D29+F29)/2*I$13+E29</f>
        <v>1125331.8448076155</v>
      </c>
      <c r="I29" s="51">
        <f t="shared" si="6"/>
        <v>0</v>
      </c>
      <c r="J29" s="51"/>
      <c r="K29" s="112"/>
      <c r="L29" s="53">
        <f t="shared" ref="L29:L73" si="33">IF(K29&lt;&gt;0,+G29-K29,0)</f>
        <v>0</v>
      </c>
      <c r="M29" s="112"/>
      <c r="N29" s="53">
        <f t="shared" si="4"/>
        <v>0</v>
      </c>
      <c r="O29" s="53">
        <f t="shared" si="5"/>
        <v>0</v>
      </c>
      <c r="P29" s="1"/>
      <c r="R29" s="1"/>
      <c r="S29" s="1"/>
      <c r="T29" s="1"/>
      <c r="U29" s="1"/>
    </row>
    <row r="30" spans="2:21">
      <c r="B30" t="str">
        <f t="shared" si="0"/>
        <v/>
      </c>
      <c r="C30" s="49">
        <f>IF(D11="","-",+C29+1)</f>
        <v>2027</v>
      </c>
      <c r="D30" s="54">
        <f>IF(F29+SUM(E$17:E29)=D$10,F29,D$10-SUM(E$17:E29))</f>
        <v>6686221.41494573</v>
      </c>
      <c r="E30" s="377">
        <f t="shared" si="29"/>
        <v>340603.27899999998</v>
      </c>
      <c r="F30" s="54">
        <f t="shared" si="30"/>
        <v>6345618.1359457299</v>
      </c>
      <c r="G30" s="378">
        <f t="shared" si="31"/>
        <v>1086349.8242533728</v>
      </c>
      <c r="H30" s="359">
        <f t="shared" si="32"/>
        <v>1086349.8242533728</v>
      </c>
      <c r="I30" s="51">
        <f t="shared" si="6"/>
        <v>0</v>
      </c>
      <c r="J30" s="51"/>
      <c r="K30" s="112"/>
      <c r="L30" s="53">
        <f t="shared" si="33"/>
        <v>0</v>
      </c>
      <c r="M30" s="112"/>
      <c r="N30" s="53">
        <f t="shared" si="4"/>
        <v>0</v>
      </c>
      <c r="O30" s="53">
        <f t="shared" si="5"/>
        <v>0</v>
      </c>
      <c r="P30" s="1"/>
      <c r="R30" s="1"/>
      <c r="S30" s="1"/>
      <c r="T30" s="1"/>
      <c r="U30" s="1"/>
    </row>
    <row r="31" spans="2:21">
      <c r="B31" t="str">
        <f t="shared" si="0"/>
        <v/>
      </c>
      <c r="C31" s="49">
        <f>IF(D11="","-",+C30+1)</f>
        <v>2028</v>
      </c>
      <c r="D31" s="54">
        <f>IF(F30+SUM(E$17:E30)=D$10,F30,D$10-SUM(E$17:E30))</f>
        <v>6345618.1359457299</v>
      </c>
      <c r="E31" s="377">
        <f t="shared" si="29"/>
        <v>340603.27899999998</v>
      </c>
      <c r="F31" s="54">
        <f t="shared" si="30"/>
        <v>6005014.8569457298</v>
      </c>
      <c r="G31" s="378">
        <f t="shared" si="31"/>
        <v>1047367.8036991304</v>
      </c>
      <c r="H31" s="359">
        <f t="shared" si="32"/>
        <v>1047367.8036991304</v>
      </c>
      <c r="I31" s="51">
        <f t="shared" si="6"/>
        <v>0</v>
      </c>
      <c r="J31" s="51"/>
      <c r="K31" s="112"/>
      <c r="L31" s="53">
        <f t="shared" si="33"/>
        <v>0</v>
      </c>
      <c r="M31" s="112"/>
      <c r="N31" s="53">
        <f t="shared" si="4"/>
        <v>0</v>
      </c>
      <c r="O31" s="53">
        <f t="shared" si="5"/>
        <v>0</v>
      </c>
      <c r="P31" s="1"/>
      <c r="R31" s="1"/>
      <c r="S31" s="1"/>
      <c r="T31" s="1"/>
      <c r="U31" s="1"/>
    </row>
    <row r="32" spans="2:21">
      <c r="B32" t="str">
        <f t="shared" si="0"/>
        <v/>
      </c>
      <c r="C32" s="49">
        <f>IF(D12="","-",+C31+1)</f>
        <v>2029</v>
      </c>
      <c r="D32" s="54">
        <f>IF(F31+SUM(E$17:E31)=D$10,F31,D$10-SUM(E$17:E31))</f>
        <v>6005014.8569457298</v>
      </c>
      <c r="E32" s="377">
        <f>IF(+$I$14&lt;F31,$I$14,D32)</f>
        <v>340603.27899999998</v>
      </c>
      <c r="F32" s="54">
        <f>+D32-E32</f>
        <v>5664411.5779457297</v>
      </c>
      <c r="G32" s="378">
        <f t="shared" si="31"/>
        <v>1008385.7831448878</v>
      </c>
      <c r="H32" s="359">
        <f t="shared" si="32"/>
        <v>1008385.7831448878</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2030</v>
      </c>
      <c r="D33" s="411">
        <f>IF(F32+SUM(E$17:E32)=D$10,F32,D$10-SUM(E$17:E32))</f>
        <v>5664411.5779457297</v>
      </c>
      <c r="E33" s="377">
        <f>IF(+$I$14&lt;F31,$I$14,D33)</f>
        <v>340603.27899999998</v>
      </c>
      <c r="F33" s="54">
        <f t="shared" si="30"/>
        <v>5323808.2989457296</v>
      </c>
      <c r="G33" s="378">
        <f t="shared" si="31"/>
        <v>969403.76259064535</v>
      </c>
      <c r="H33" s="359">
        <f t="shared" si="32"/>
        <v>969403.76259064535</v>
      </c>
      <c r="I33" s="51">
        <f t="shared" si="6"/>
        <v>0</v>
      </c>
      <c r="J33" s="51"/>
      <c r="K33" s="112"/>
      <c r="L33" s="53">
        <f t="shared" si="33"/>
        <v>0</v>
      </c>
      <c r="M33" s="112"/>
      <c r="N33" s="53">
        <f t="shared" si="4"/>
        <v>0</v>
      </c>
      <c r="O33" s="53">
        <f t="shared" si="5"/>
        <v>0</v>
      </c>
      <c r="P33" s="1"/>
      <c r="R33" s="1"/>
      <c r="S33" s="1"/>
      <c r="T33" s="1"/>
      <c r="U33" s="1"/>
    </row>
    <row r="34" spans="2:21">
      <c r="B34" t="str">
        <f t="shared" si="0"/>
        <v/>
      </c>
      <c r="C34" s="379">
        <f>IF(D11="","-",+C33+1)</f>
        <v>2031</v>
      </c>
      <c r="D34" s="411">
        <f>IF(F33+SUM(E$17:E33)=D$10,F33,D$10-SUM(E$17:E33))</f>
        <v>5323808.2989457296</v>
      </c>
      <c r="E34" s="381">
        <f t="shared" si="29"/>
        <v>340603.27899999998</v>
      </c>
      <c r="F34" s="380">
        <f t="shared" si="30"/>
        <v>4983205.0199457295</v>
      </c>
      <c r="G34" s="382">
        <f t="shared" si="31"/>
        <v>930421.74203640269</v>
      </c>
      <c r="H34" s="383">
        <f t="shared" si="32"/>
        <v>930421.74203640269</v>
      </c>
      <c r="I34" s="384">
        <f t="shared" si="6"/>
        <v>0</v>
      </c>
      <c r="J34" s="384"/>
      <c r="K34" s="385"/>
      <c r="L34" s="386">
        <f t="shared" si="33"/>
        <v>0</v>
      </c>
      <c r="M34" s="385"/>
      <c r="N34" s="386">
        <f t="shared" si="4"/>
        <v>0</v>
      </c>
      <c r="O34" s="386">
        <f t="shared" si="5"/>
        <v>0</v>
      </c>
      <c r="P34" s="387"/>
      <c r="Q34" s="187"/>
      <c r="R34" s="387"/>
      <c r="S34" s="387"/>
      <c r="T34" s="387"/>
      <c r="U34" s="1"/>
    </row>
    <row r="35" spans="2:21">
      <c r="B35" t="str">
        <f t="shared" si="0"/>
        <v/>
      </c>
      <c r="C35" s="49">
        <f>IF(D11="","-",+C34+1)</f>
        <v>2032</v>
      </c>
      <c r="D35" s="54">
        <f>IF(F34+SUM(E$17:E34)=D$10,F34,D$10-SUM(E$17:E34))</f>
        <v>4983205.0199457295</v>
      </c>
      <c r="E35" s="377">
        <f t="shared" si="29"/>
        <v>340603.27899999998</v>
      </c>
      <c r="F35" s="54">
        <f t="shared" si="30"/>
        <v>4642601.7409457294</v>
      </c>
      <c r="G35" s="378">
        <f t="shared" si="31"/>
        <v>891439.72148216038</v>
      </c>
      <c r="H35" s="359">
        <f t="shared" si="32"/>
        <v>891439.72148216038</v>
      </c>
      <c r="I35" s="51">
        <f t="shared" si="6"/>
        <v>0</v>
      </c>
      <c r="J35" s="51"/>
      <c r="K35" s="112"/>
      <c r="L35" s="53">
        <f t="shared" si="33"/>
        <v>0</v>
      </c>
      <c r="M35" s="112"/>
      <c r="N35" s="53">
        <f t="shared" si="4"/>
        <v>0</v>
      </c>
      <c r="O35" s="53">
        <f t="shared" si="5"/>
        <v>0</v>
      </c>
      <c r="P35" s="1"/>
      <c r="R35" s="1"/>
      <c r="S35" s="1"/>
      <c r="T35" s="1"/>
      <c r="U35" s="1"/>
    </row>
    <row r="36" spans="2:21">
      <c r="B36" t="str">
        <f t="shared" si="0"/>
        <v/>
      </c>
      <c r="C36" s="49">
        <f>IF(D11="","-",+C35+1)</f>
        <v>2033</v>
      </c>
      <c r="D36" s="54">
        <f>IF(F35+SUM(E$17:E35)=D$10,F35,D$10-SUM(E$17:E35))</f>
        <v>4642601.7409457294</v>
      </c>
      <c r="E36" s="377">
        <f t="shared" si="29"/>
        <v>340603.27899999998</v>
      </c>
      <c r="F36" s="54">
        <f t="shared" si="30"/>
        <v>4301998.4619457293</v>
      </c>
      <c r="G36" s="378">
        <f t="shared" si="31"/>
        <v>852457.70092791773</v>
      </c>
      <c r="H36" s="359">
        <f t="shared" si="32"/>
        <v>852457.70092791773</v>
      </c>
      <c r="I36" s="51">
        <f t="shared" si="6"/>
        <v>0</v>
      </c>
      <c r="J36" s="51"/>
      <c r="K36" s="112"/>
      <c r="L36" s="53">
        <f t="shared" si="33"/>
        <v>0</v>
      </c>
      <c r="M36" s="112"/>
      <c r="N36" s="53">
        <f t="shared" si="4"/>
        <v>0</v>
      </c>
      <c r="O36" s="53">
        <f t="shared" si="5"/>
        <v>0</v>
      </c>
      <c r="P36" s="1"/>
      <c r="R36" s="1"/>
      <c r="S36" s="1"/>
      <c r="T36" s="1"/>
      <c r="U36" s="1"/>
    </row>
    <row r="37" spans="2:21">
      <c r="B37" t="str">
        <f t="shared" si="0"/>
        <v/>
      </c>
      <c r="C37" s="49">
        <f>IF(D11="","-",+C36+1)</f>
        <v>2034</v>
      </c>
      <c r="D37" s="54">
        <f>IF(F36+SUM(E$17:E36)=D$10,F36,D$10-SUM(E$17:E36))</f>
        <v>4301998.4619457293</v>
      </c>
      <c r="E37" s="377">
        <f t="shared" si="29"/>
        <v>340603.27899999998</v>
      </c>
      <c r="F37" s="54">
        <f t="shared" si="30"/>
        <v>3961395.1829457292</v>
      </c>
      <c r="G37" s="378">
        <f t="shared" si="31"/>
        <v>813475.68037367519</v>
      </c>
      <c r="H37" s="359">
        <f t="shared" si="32"/>
        <v>813475.68037367519</v>
      </c>
      <c r="I37" s="51">
        <f t="shared" si="6"/>
        <v>0</v>
      </c>
      <c r="J37" s="51"/>
      <c r="K37" s="112"/>
      <c r="L37" s="53">
        <f t="shared" si="33"/>
        <v>0</v>
      </c>
      <c r="M37" s="112"/>
      <c r="N37" s="53">
        <f t="shared" si="4"/>
        <v>0</v>
      </c>
      <c r="O37" s="53">
        <f t="shared" si="5"/>
        <v>0</v>
      </c>
      <c r="P37" s="1"/>
      <c r="R37" s="1"/>
      <c r="S37" s="1"/>
      <c r="T37" s="1"/>
      <c r="U37" s="1"/>
    </row>
    <row r="38" spans="2:21">
      <c r="B38" t="str">
        <f t="shared" si="0"/>
        <v/>
      </c>
      <c r="C38" s="49">
        <f>IF(D11="","-",+C37+1)</f>
        <v>2035</v>
      </c>
      <c r="D38" s="54">
        <f>IF(F37+SUM(E$17:E37)=D$10,F37,D$10-SUM(E$17:E37))</f>
        <v>3961395.1829457292</v>
      </c>
      <c r="E38" s="377">
        <f t="shared" si="29"/>
        <v>340603.27899999998</v>
      </c>
      <c r="F38" s="54">
        <f t="shared" si="30"/>
        <v>3620791.9039457291</v>
      </c>
      <c r="G38" s="378">
        <f t="shared" si="31"/>
        <v>774493.65981943277</v>
      </c>
      <c r="H38" s="359">
        <f t="shared" si="32"/>
        <v>774493.65981943277</v>
      </c>
      <c r="I38" s="51">
        <f t="shared" si="6"/>
        <v>0</v>
      </c>
      <c r="J38" s="51"/>
      <c r="K38" s="112"/>
      <c r="L38" s="53">
        <f t="shared" si="33"/>
        <v>0</v>
      </c>
      <c r="M38" s="112"/>
      <c r="N38" s="53">
        <f t="shared" si="4"/>
        <v>0</v>
      </c>
      <c r="O38" s="53">
        <f t="shared" si="5"/>
        <v>0</v>
      </c>
      <c r="P38" s="1"/>
      <c r="R38" s="1"/>
      <c r="S38" s="1"/>
      <c r="T38" s="1"/>
      <c r="U38" s="1"/>
    </row>
    <row r="39" spans="2:21">
      <c r="B39" t="str">
        <f t="shared" si="0"/>
        <v/>
      </c>
      <c r="C39" s="49">
        <f>IF(D11="","-",+C38+1)</f>
        <v>2036</v>
      </c>
      <c r="D39" s="54">
        <f>IF(F38+SUM(E$17:E38)=D$10,F38,D$10-SUM(E$17:E38))</f>
        <v>3620791.9039457291</v>
      </c>
      <c r="E39" s="377">
        <f t="shared" si="29"/>
        <v>340603.27899999998</v>
      </c>
      <c r="F39" s="54">
        <f t="shared" si="30"/>
        <v>3280188.624945729</v>
      </c>
      <c r="G39" s="378">
        <f t="shared" si="31"/>
        <v>735511.63926519011</v>
      </c>
      <c r="H39" s="359">
        <f t="shared" si="32"/>
        <v>735511.63926519011</v>
      </c>
      <c r="I39" s="51">
        <f t="shared" si="6"/>
        <v>0</v>
      </c>
      <c r="J39" s="51"/>
      <c r="K39" s="112"/>
      <c r="L39" s="53">
        <f t="shared" si="33"/>
        <v>0</v>
      </c>
      <c r="M39" s="112"/>
      <c r="N39" s="53">
        <f t="shared" si="4"/>
        <v>0</v>
      </c>
      <c r="O39" s="53">
        <f t="shared" si="5"/>
        <v>0</v>
      </c>
      <c r="P39" s="1"/>
      <c r="R39" s="1"/>
      <c r="S39" s="1"/>
      <c r="T39" s="1"/>
      <c r="U39" s="1"/>
    </row>
    <row r="40" spans="2:21">
      <c r="B40" t="str">
        <f t="shared" si="0"/>
        <v/>
      </c>
      <c r="C40" s="49">
        <f>IF(D11="","-",+C39+1)</f>
        <v>2037</v>
      </c>
      <c r="D40" s="54">
        <f>IF(F39+SUM(E$17:E39)=D$10,F39,D$10-SUM(E$17:E39))</f>
        <v>3280188.624945729</v>
      </c>
      <c r="E40" s="377">
        <f t="shared" si="29"/>
        <v>340603.27899999998</v>
      </c>
      <c r="F40" s="54">
        <f t="shared" si="30"/>
        <v>2939585.3459457289</v>
      </c>
      <c r="G40" s="378">
        <f t="shared" si="31"/>
        <v>696529.61871094769</v>
      </c>
      <c r="H40" s="359">
        <f t="shared" si="32"/>
        <v>696529.61871094769</v>
      </c>
      <c r="I40" s="51">
        <f t="shared" si="6"/>
        <v>0</v>
      </c>
      <c r="J40" s="51"/>
      <c r="K40" s="112"/>
      <c r="L40" s="53">
        <f t="shared" si="33"/>
        <v>0</v>
      </c>
      <c r="M40" s="112"/>
      <c r="N40" s="53">
        <f t="shared" si="4"/>
        <v>0</v>
      </c>
      <c r="O40" s="53">
        <f t="shared" si="5"/>
        <v>0</v>
      </c>
      <c r="P40" s="1"/>
      <c r="R40" s="1"/>
      <c r="S40" s="1"/>
      <c r="T40" s="1"/>
      <c r="U40" s="1"/>
    </row>
    <row r="41" spans="2:21">
      <c r="B41" t="str">
        <f t="shared" si="0"/>
        <v/>
      </c>
      <c r="C41" s="49">
        <f>IF(D12="","-",+C40+1)</f>
        <v>2038</v>
      </c>
      <c r="D41" s="54">
        <f>IF(F40+SUM(E$17:E40)=D$10,F40,D$10-SUM(E$17:E40))</f>
        <v>2939585.3459457289</v>
      </c>
      <c r="E41" s="377">
        <f t="shared" si="29"/>
        <v>340603.27899999998</v>
      </c>
      <c r="F41" s="54">
        <f t="shared" si="30"/>
        <v>2598982.0669457288</v>
      </c>
      <c r="G41" s="378">
        <f t="shared" si="31"/>
        <v>657547.59815670515</v>
      </c>
      <c r="H41" s="359">
        <f t="shared" si="32"/>
        <v>657547.59815670515</v>
      </c>
      <c r="I41" s="51">
        <f t="shared" si="6"/>
        <v>0</v>
      </c>
      <c r="J41" s="51"/>
      <c r="K41" s="112"/>
      <c r="L41" s="53">
        <f t="shared" si="33"/>
        <v>0</v>
      </c>
      <c r="M41" s="112"/>
      <c r="N41" s="53">
        <f t="shared" si="4"/>
        <v>0</v>
      </c>
      <c r="O41" s="53">
        <f t="shared" si="5"/>
        <v>0</v>
      </c>
      <c r="P41" s="1"/>
      <c r="R41" s="1"/>
      <c r="S41" s="1"/>
      <c r="T41" s="1"/>
      <c r="U41" s="1"/>
    </row>
    <row r="42" spans="2:21">
      <c r="B42" t="str">
        <f t="shared" si="0"/>
        <v/>
      </c>
      <c r="C42" s="49">
        <f>IF(D13="","-",+C41+1)</f>
        <v>2039</v>
      </c>
      <c r="D42" s="54">
        <f>IF(F41+SUM(E$17:E41)=D$10,F41,D$10-SUM(E$17:E41))</f>
        <v>2598982.0669457288</v>
      </c>
      <c r="E42" s="377">
        <f t="shared" si="29"/>
        <v>340603.27899999998</v>
      </c>
      <c r="F42" s="54">
        <f t="shared" si="30"/>
        <v>2258378.7879457287</v>
      </c>
      <c r="G42" s="378">
        <f t="shared" si="31"/>
        <v>618565.57760246261</v>
      </c>
      <c r="H42" s="359">
        <f t="shared" si="32"/>
        <v>618565.57760246261</v>
      </c>
      <c r="I42" s="51">
        <f t="shared" si="6"/>
        <v>0</v>
      </c>
      <c r="J42" s="51"/>
      <c r="K42" s="112"/>
      <c r="L42" s="53">
        <f t="shared" si="33"/>
        <v>0</v>
      </c>
      <c r="M42" s="112"/>
      <c r="N42" s="53">
        <f t="shared" si="4"/>
        <v>0</v>
      </c>
      <c r="O42" s="53">
        <f t="shared" si="5"/>
        <v>0</v>
      </c>
      <c r="P42" s="1"/>
      <c r="R42" s="1"/>
      <c r="S42" s="1"/>
      <c r="T42" s="1"/>
      <c r="U42" s="1"/>
    </row>
    <row r="43" spans="2:21">
      <c r="B43" t="str">
        <f t="shared" si="0"/>
        <v/>
      </c>
      <c r="C43" s="49">
        <f>IF(D11="","-",+C42+1)</f>
        <v>2040</v>
      </c>
      <c r="D43" s="54">
        <f>IF(F42+SUM(E$17:E42)=D$10,F42,D$10-SUM(E$17:E42))</f>
        <v>2258378.7879457287</v>
      </c>
      <c r="E43" s="377">
        <f t="shared" si="29"/>
        <v>340603.27899999998</v>
      </c>
      <c r="F43" s="54">
        <f t="shared" si="30"/>
        <v>1917775.5089457287</v>
      </c>
      <c r="G43" s="378">
        <f t="shared" si="31"/>
        <v>579583.55704822007</v>
      </c>
      <c r="H43" s="359">
        <f t="shared" si="32"/>
        <v>579583.55704822007</v>
      </c>
      <c r="I43" s="51">
        <f t="shared" si="6"/>
        <v>0</v>
      </c>
      <c r="J43" s="51"/>
      <c r="K43" s="112"/>
      <c r="L43" s="53">
        <f t="shared" si="33"/>
        <v>0</v>
      </c>
      <c r="M43" s="112"/>
      <c r="N43" s="53">
        <f t="shared" si="4"/>
        <v>0</v>
      </c>
      <c r="O43" s="53">
        <f t="shared" si="5"/>
        <v>0</v>
      </c>
      <c r="P43" s="1"/>
      <c r="R43" s="1"/>
      <c r="S43" s="1"/>
      <c r="T43" s="1"/>
      <c r="U43" s="1"/>
    </row>
    <row r="44" spans="2:21">
      <c r="B44" t="str">
        <f t="shared" si="0"/>
        <v/>
      </c>
      <c r="C44" s="49">
        <f>IF(D11="","-",+C43+1)</f>
        <v>2041</v>
      </c>
      <c r="D44" s="54">
        <f>IF(F43+SUM(E$17:E43)=D$10,F43,D$10-SUM(E$17:E43))</f>
        <v>1917775.5089457287</v>
      </c>
      <c r="E44" s="377">
        <f t="shared" si="29"/>
        <v>340603.27899999998</v>
      </c>
      <c r="F44" s="54">
        <f t="shared" si="30"/>
        <v>1577172.2299457286</v>
      </c>
      <c r="G44" s="378">
        <f t="shared" si="31"/>
        <v>540601.53649397753</v>
      </c>
      <c r="H44" s="359">
        <f t="shared" si="32"/>
        <v>540601.53649397753</v>
      </c>
      <c r="I44" s="51">
        <f t="shared" si="6"/>
        <v>0</v>
      </c>
      <c r="J44" s="51"/>
      <c r="K44" s="112"/>
      <c r="L44" s="53">
        <f t="shared" si="33"/>
        <v>0</v>
      </c>
      <c r="M44" s="112"/>
      <c r="N44" s="53">
        <f t="shared" si="4"/>
        <v>0</v>
      </c>
      <c r="O44" s="53">
        <f t="shared" si="5"/>
        <v>0</v>
      </c>
      <c r="P44" s="1"/>
      <c r="R44" s="1"/>
      <c r="S44" s="1"/>
      <c r="T44" s="1"/>
      <c r="U44" s="1"/>
    </row>
    <row r="45" spans="2:21">
      <c r="B45" t="str">
        <f t="shared" si="0"/>
        <v/>
      </c>
      <c r="C45" s="49">
        <f>IF(D11="","-",+C44+1)</f>
        <v>2042</v>
      </c>
      <c r="D45" s="54">
        <f>IF(F44+SUM(E$17:E44)=D$10,F44,D$10-SUM(E$17:E44))</f>
        <v>1577172.2299457286</v>
      </c>
      <c r="E45" s="377">
        <f t="shared" si="29"/>
        <v>340603.27899999998</v>
      </c>
      <c r="F45" s="54">
        <f t="shared" si="30"/>
        <v>1236568.9509457285</v>
      </c>
      <c r="G45" s="378">
        <f t="shared" si="31"/>
        <v>501619.51593973505</v>
      </c>
      <c r="H45" s="359">
        <f t="shared" si="32"/>
        <v>501619.51593973505</v>
      </c>
      <c r="I45" s="51">
        <f t="shared" si="6"/>
        <v>0</v>
      </c>
      <c r="J45" s="51"/>
      <c r="K45" s="112"/>
      <c r="L45" s="53">
        <f t="shared" si="33"/>
        <v>0</v>
      </c>
      <c r="M45" s="112"/>
      <c r="N45" s="53">
        <f t="shared" si="4"/>
        <v>0</v>
      </c>
      <c r="O45" s="53">
        <f t="shared" si="5"/>
        <v>0</v>
      </c>
      <c r="P45" s="1"/>
      <c r="R45" s="1"/>
      <c r="S45" s="1"/>
      <c r="T45" s="1"/>
      <c r="U45" s="1"/>
    </row>
    <row r="46" spans="2:21">
      <c r="B46" t="str">
        <f t="shared" si="0"/>
        <v/>
      </c>
      <c r="C46" s="49">
        <f>IF(D11="","-",+C45+1)</f>
        <v>2043</v>
      </c>
      <c r="D46" s="54">
        <f>IF(F45+SUM(E$17:E45)=D$10,F45,D$10-SUM(E$17:E45))</f>
        <v>1236568.9509457285</v>
      </c>
      <c r="E46" s="377">
        <f t="shared" si="29"/>
        <v>340603.27899999998</v>
      </c>
      <c r="F46" s="54">
        <f t="shared" si="30"/>
        <v>895965.67194572848</v>
      </c>
      <c r="G46" s="378">
        <f t="shared" si="31"/>
        <v>462637.49538549251</v>
      </c>
      <c r="H46" s="359">
        <f t="shared" si="32"/>
        <v>462637.49538549251</v>
      </c>
      <c r="I46" s="51">
        <f t="shared" si="6"/>
        <v>0</v>
      </c>
      <c r="J46" s="51"/>
      <c r="K46" s="112"/>
      <c r="L46" s="53">
        <f t="shared" si="33"/>
        <v>0</v>
      </c>
      <c r="M46" s="112"/>
      <c r="N46" s="53">
        <f t="shared" si="4"/>
        <v>0</v>
      </c>
      <c r="O46" s="53">
        <f t="shared" si="5"/>
        <v>0</v>
      </c>
      <c r="P46" s="1"/>
      <c r="R46" s="1"/>
      <c r="S46" s="1"/>
      <c r="T46" s="1"/>
      <c r="U46" s="1"/>
    </row>
    <row r="47" spans="2:21">
      <c r="B47" t="str">
        <f t="shared" si="0"/>
        <v/>
      </c>
      <c r="C47" s="49">
        <f>IF(D11="","-",+C46+1)</f>
        <v>2044</v>
      </c>
      <c r="D47" s="54">
        <f>IF(F46+SUM(E$17:E46)=D$10,F46,D$10-SUM(E$17:E46))</f>
        <v>895965.67194572848</v>
      </c>
      <c r="E47" s="377">
        <f t="shared" si="29"/>
        <v>340603.27899999998</v>
      </c>
      <c r="F47" s="54">
        <f t="shared" si="30"/>
        <v>555362.3929457285</v>
      </c>
      <c r="G47" s="378">
        <f t="shared" si="31"/>
        <v>423655.47483125003</v>
      </c>
      <c r="H47" s="359">
        <f t="shared" si="32"/>
        <v>423655.47483125003</v>
      </c>
      <c r="I47" s="51">
        <f t="shared" si="6"/>
        <v>0</v>
      </c>
      <c r="J47" s="51"/>
      <c r="K47" s="112"/>
      <c r="L47" s="53">
        <f t="shared" si="33"/>
        <v>0</v>
      </c>
      <c r="M47" s="112"/>
      <c r="N47" s="53">
        <f t="shared" si="4"/>
        <v>0</v>
      </c>
      <c r="O47" s="53">
        <f t="shared" si="5"/>
        <v>0</v>
      </c>
      <c r="P47" s="1"/>
      <c r="R47" s="1"/>
      <c r="S47" s="1"/>
      <c r="T47" s="1"/>
      <c r="U47" s="1"/>
    </row>
    <row r="48" spans="2:21">
      <c r="B48" t="str">
        <f t="shared" si="0"/>
        <v/>
      </c>
      <c r="C48" s="49">
        <f>IF(D11="","-",+C47+1)</f>
        <v>2045</v>
      </c>
      <c r="D48" s="54">
        <f>IF(F47+SUM(E$17:E47)=D$10,F47,D$10-SUM(E$17:E47))</f>
        <v>555362.3929457285</v>
      </c>
      <c r="E48" s="377">
        <f t="shared" si="29"/>
        <v>340603.27899999998</v>
      </c>
      <c r="F48" s="54">
        <f t="shared" si="30"/>
        <v>214759.11394572852</v>
      </c>
      <c r="G48" s="378">
        <f t="shared" si="31"/>
        <v>384673.45427700749</v>
      </c>
      <c r="H48" s="359">
        <f t="shared" si="32"/>
        <v>384673.45427700749</v>
      </c>
      <c r="I48" s="51">
        <f t="shared" si="6"/>
        <v>0</v>
      </c>
      <c r="J48" s="51"/>
      <c r="K48" s="112"/>
      <c r="L48" s="53">
        <f t="shared" si="33"/>
        <v>0</v>
      </c>
      <c r="M48" s="112"/>
      <c r="N48" s="53">
        <f t="shared" si="4"/>
        <v>0</v>
      </c>
      <c r="O48" s="53">
        <f t="shared" si="5"/>
        <v>0</v>
      </c>
      <c r="P48" s="1"/>
      <c r="R48" s="1"/>
      <c r="S48" s="1"/>
      <c r="T48" s="1"/>
      <c r="U48" s="1"/>
    </row>
    <row r="49" spans="2:21">
      <c r="B49" t="str">
        <f t="shared" si="0"/>
        <v/>
      </c>
      <c r="C49" s="49">
        <f>IF(D11="","-",+C48+1)</f>
        <v>2046</v>
      </c>
      <c r="D49" s="54">
        <f>IF(F48+SUM(E$17:E48)=D$10,F48,D$10-SUM(E$17:E48))</f>
        <v>214759.11394572852</v>
      </c>
      <c r="E49" s="377">
        <f t="shared" si="29"/>
        <v>214759.11394572852</v>
      </c>
      <c r="F49" s="54">
        <f t="shared" si="30"/>
        <v>0</v>
      </c>
      <c r="G49" s="378">
        <f t="shared" si="31"/>
        <v>227048.69644567167</v>
      </c>
      <c r="H49" s="359">
        <f t="shared" si="32"/>
        <v>227048.69644567167</v>
      </c>
      <c r="I49" s="51">
        <f t="shared" si="6"/>
        <v>0</v>
      </c>
      <c r="J49" s="51"/>
      <c r="K49" s="112"/>
      <c r="L49" s="53">
        <f t="shared" si="33"/>
        <v>0</v>
      </c>
      <c r="M49" s="112"/>
      <c r="N49" s="53">
        <f t="shared" si="4"/>
        <v>0</v>
      </c>
      <c r="O49" s="53">
        <f t="shared" si="5"/>
        <v>0</v>
      </c>
      <c r="P49" s="1"/>
      <c r="R49" s="1"/>
      <c r="S49" s="1"/>
      <c r="T49" s="1"/>
      <c r="U49" s="1"/>
    </row>
    <row r="50" spans="2:21">
      <c r="B50" t="str">
        <f t="shared" si="0"/>
        <v/>
      </c>
      <c r="C50" s="49">
        <f>IF(D11="","-",+C49+1)</f>
        <v>2047</v>
      </c>
      <c r="D50" s="54">
        <f>IF(F49+SUM(E$17:E49)=D$10,F49,D$10-SUM(E$17:E49))</f>
        <v>0</v>
      </c>
      <c r="E50" s="377">
        <f t="shared" si="29"/>
        <v>0</v>
      </c>
      <c r="F50" s="54">
        <f t="shared" si="30"/>
        <v>0</v>
      </c>
      <c r="G50" s="378">
        <f t="shared" si="31"/>
        <v>0</v>
      </c>
      <c r="H50" s="359">
        <f t="shared" si="32"/>
        <v>0</v>
      </c>
      <c r="I50" s="51">
        <f t="shared" si="6"/>
        <v>0</v>
      </c>
      <c r="J50" s="51"/>
      <c r="K50" s="112"/>
      <c r="L50" s="53">
        <f t="shared" si="33"/>
        <v>0</v>
      </c>
      <c r="M50" s="112"/>
      <c r="N50" s="53">
        <f t="shared" si="4"/>
        <v>0</v>
      </c>
      <c r="O50" s="53">
        <f t="shared" si="5"/>
        <v>0</v>
      </c>
      <c r="P50" s="1"/>
      <c r="R50" s="1"/>
      <c r="S50" s="1"/>
      <c r="T50" s="1"/>
      <c r="U50" s="1"/>
    </row>
    <row r="51" spans="2:21">
      <c r="B51" t="str">
        <f t="shared" si="0"/>
        <v/>
      </c>
      <c r="C51" s="49">
        <f>IF(D11="","-",+C50+1)</f>
        <v>2048</v>
      </c>
      <c r="D51" s="54">
        <f>IF(F50+SUM(E$17:E50)=D$10,F50,D$10-SUM(E$17:E50))</f>
        <v>0</v>
      </c>
      <c r="E51" s="377">
        <f t="shared" si="29"/>
        <v>0</v>
      </c>
      <c r="F51" s="54">
        <f t="shared" si="30"/>
        <v>0</v>
      </c>
      <c r="G51" s="378">
        <f t="shared" si="31"/>
        <v>0</v>
      </c>
      <c r="H51" s="359">
        <f t="shared" si="32"/>
        <v>0</v>
      </c>
      <c r="I51" s="51">
        <f t="shared" si="6"/>
        <v>0</v>
      </c>
      <c r="J51" s="51"/>
      <c r="K51" s="112"/>
      <c r="L51" s="53">
        <f t="shared" si="33"/>
        <v>0</v>
      </c>
      <c r="M51" s="112"/>
      <c r="N51" s="53">
        <f t="shared" si="4"/>
        <v>0</v>
      </c>
      <c r="O51" s="53">
        <f t="shared" si="5"/>
        <v>0</v>
      </c>
      <c r="P51" s="1"/>
      <c r="R51" s="1"/>
      <c r="S51" s="1"/>
      <c r="T51" s="1"/>
      <c r="U51" s="1"/>
    </row>
    <row r="52" spans="2:21">
      <c r="B52" t="str">
        <f t="shared" si="0"/>
        <v/>
      </c>
      <c r="C52" s="49">
        <f>IF(D11="","-",+C51+1)</f>
        <v>2049</v>
      </c>
      <c r="D52" s="54">
        <f>IF(F51+SUM(E$17:E51)=D$10,F51,D$10-SUM(E$17:E51))</f>
        <v>0</v>
      </c>
      <c r="E52" s="377">
        <f t="shared" si="29"/>
        <v>0</v>
      </c>
      <c r="F52" s="54">
        <f t="shared" si="30"/>
        <v>0</v>
      </c>
      <c r="G52" s="378">
        <f t="shared" si="31"/>
        <v>0</v>
      </c>
      <c r="H52" s="359">
        <f t="shared" si="32"/>
        <v>0</v>
      </c>
      <c r="I52" s="51">
        <f t="shared" si="6"/>
        <v>0</v>
      </c>
      <c r="J52" s="51"/>
      <c r="K52" s="112"/>
      <c r="L52" s="53">
        <f t="shared" si="33"/>
        <v>0</v>
      </c>
      <c r="M52" s="112"/>
      <c r="N52" s="53">
        <f t="shared" si="4"/>
        <v>0</v>
      </c>
      <c r="O52" s="53">
        <f t="shared" si="5"/>
        <v>0</v>
      </c>
      <c r="P52" s="1"/>
      <c r="R52" s="1"/>
      <c r="S52" s="1"/>
      <c r="T52" s="1"/>
      <c r="U52" s="1"/>
    </row>
    <row r="53" spans="2:21">
      <c r="B53" t="str">
        <f t="shared" si="0"/>
        <v/>
      </c>
      <c r="C53" s="49">
        <f>IF(D11="","-",+C52+1)</f>
        <v>2050</v>
      </c>
      <c r="D53" s="54">
        <f>IF(F52+SUM(E$17:E52)=D$10,F52,D$10-SUM(E$17:E52))</f>
        <v>0</v>
      </c>
      <c r="E53" s="377">
        <f t="shared" si="29"/>
        <v>0</v>
      </c>
      <c r="F53" s="54">
        <f t="shared" si="30"/>
        <v>0</v>
      </c>
      <c r="G53" s="378">
        <f t="shared" si="31"/>
        <v>0</v>
      </c>
      <c r="H53" s="359">
        <f t="shared" si="32"/>
        <v>0</v>
      </c>
      <c r="I53" s="51">
        <f t="shared" si="6"/>
        <v>0</v>
      </c>
      <c r="J53" s="51"/>
      <c r="K53" s="112"/>
      <c r="L53" s="53">
        <f t="shared" si="33"/>
        <v>0</v>
      </c>
      <c r="M53" s="112"/>
      <c r="N53" s="53">
        <f t="shared" si="4"/>
        <v>0</v>
      </c>
      <c r="O53" s="53">
        <f t="shared" si="5"/>
        <v>0</v>
      </c>
      <c r="P53" s="1"/>
      <c r="R53" s="1"/>
      <c r="S53" s="1"/>
      <c r="T53" s="1"/>
      <c r="U53" s="1"/>
    </row>
    <row r="54" spans="2:21">
      <c r="B54" t="str">
        <f t="shared" si="0"/>
        <v/>
      </c>
      <c r="C54" s="49">
        <f>IF(D11="","-",+C53+1)</f>
        <v>2051</v>
      </c>
      <c r="D54" s="54">
        <f>IF(F53+SUM(E$17:E53)=D$10,F53,D$10-SUM(E$17:E53))</f>
        <v>0</v>
      </c>
      <c r="E54" s="377">
        <f t="shared" si="29"/>
        <v>0</v>
      </c>
      <c r="F54" s="54">
        <f t="shared" si="30"/>
        <v>0</v>
      </c>
      <c r="G54" s="378">
        <f t="shared" si="31"/>
        <v>0</v>
      </c>
      <c r="H54" s="359">
        <f t="shared" si="32"/>
        <v>0</v>
      </c>
      <c r="I54" s="51">
        <f t="shared" si="6"/>
        <v>0</v>
      </c>
      <c r="J54" s="51"/>
      <c r="K54" s="112"/>
      <c r="L54" s="53">
        <f t="shared" si="33"/>
        <v>0</v>
      </c>
      <c r="M54" s="112"/>
      <c r="N54" s="53">
        <f t="shared" si="4"/>
        <v>0</v>
      </c>
      <c r="O54" s="53">
        <f t="shared" si="5"/>
        <v>0</v>
      </c>
      <c r="P54" s="1"/>
      <c r="R54" s="1"/>
      <c r="S54" s="1"/>
      <c r="T54" s="1"/>
      <c r="U54" s="1"/>
    </row>
    <row r="55" spans="2:21">
      <c r="B55" t="str">
        <f t="shared" si="0"/>
        <v/>
      </c>
      <c r="C55" s="49">
        <f>IF(D11="","-",+C54+1)</f>
        <v>2052</v>
      </c>
      <c r="D55" s="54">
        <f>IF(F54+SUM(E$17:E54)=D$10,F54,D$10-SUM(E$17:E54))</f>
        <v>0</v>
      </c>
      <c r="E55" s="377">
        <f t="shared" si="29"/>
        <v>0</v>
      </c>
      <c r="F55" s="54">
        <f t="shared" si="30"/>
        <v>0</v>
      </c>
      <c r="G55" s="378">
        <f t="shared" si="31"/>
        <v>0</v>
      </c>
      <c r="H55" s="359">
        <f t="shared" si="32"/>
        <v>0</v>
      </c>
      <c r="I55" s="51">
        <f t="shared" si="6"/>
        <v>0</v>
      </c>
      <c r="J55" s="51"/>
      <c r="K55" s="112"/>
      <c r="L55" s="53">
        <f t="shared" si="33"/>
        <v>0</v>
      </c>
      <c r="M55" s="112"/>
      <c r="N55" s="53">
        <f t="shared" si="4"/>
        <v>0</v>
      </c>
      <c r="O55" s="53">
        <f t="shared" si="5"/>
        <v>0</v>
      </c>
      <c r="P55" s="1"/>
      <c r="R55" s="1"/>
      <c r="S55" s="1"/>
      <c r="T55" s="1"/>
      <c r="U55" s="1"/>
    </row>
    <row r="56" spans="2:21">
      <c r="B56" t="str">
        <f t="shared" si="0"/>
        <v/>
      </c>
      <c r="C56" s="49">
        <f>IF(D11="","-",+C55+1)</f>
        <v>2053</v>
      </c>
      <c r="D56" s="54">
        <f>IF(F55+SUM(E$17:E55)=D$10,F55,D$10-SUM(E$17:E55))</f>
        <v>0</v>
      </c>
      <c r="E56" s="377">
        <f t="shared" si="29"/>
        <v>0</v>
      </c>
      <c r="F56" s="54">
        <f t="shared" si="30"/>
        <v>0</v>
      </c>
      <c r="G56" s="378">
        <f t="shared" si="31"/>
        <v>0</v>
      </c>
      <c r="H56" s="359">
        <f t="shared" si="32"/>
        <v>0</v>
      </c>
      <c r="I56" s="51">
        <f t="shared" si="6"/>
        <v>0</v>
      </c>
      <c r="J56" s="51"/>
      <c r="K56" s="112"/>
      <c r="L56" s="53">
        <f t="shared" si="33"/>
        <v>0</v>
      </c>
      <c r="M56" s="112"/>
      <c r="N56" s="53">
        <f t="shared" si="4"/>
        <v>0</v>
      </c>
      <c r="O56" s="53">
        <f t="shared" si="5"/>
        <v>0</v>
      </c>
      <c r="P56" s="1"/>
      <c r="R56" s="1"/>
      <c r="S56" s="1"/>
      <c r="T56" s="1"/>
      <c r="U56" s="1"/>
    </row>
    <row r="57" spans="2:21">
      <c r="B57" t="str">
        <f t="shared" si="0"/>
        <v/>
      </c>
      <c r="C57" s="49">
        <f>IF(D11="","-",+C56+1)</f>
        <v>2054</v>
      </c>
      <c r="D57" s="54">
        <f>IF(F56+SUM(E$17:E56)=D$10,F56,D$10-SUM(E$17:E56))</f>
        <v>0</v>
      </c>
      <c r="E57" s="377">
        <f t="shared" si="29"/>
        <v>0</v>
      </c>
      <c r="F57" s="54">
        <f t="shared" si="30"/>
        <v>0</v>
      </c>
      <c r="G57" s="378">
        <f t="shared" si="31"/>
        <v>0</v>
      </c>
      <c r="H57" s="359">
        <f t="shared" si="32"/>
        <v>0</v>
      </c>
      <c r="I57" s="51">
        <f t="shared" si="6"/>
        <v>0</v>
      </c>
      <c r="J57" s="51"/>
      <c r="K57" s="112"/>
      <c r="L57" s="53">
        <f t="shared" si="33"/>
        <v>0</v>
      </c>
      <c r="M57" s="112"/>
      <c r="N57" s="53">
        <f t="shared" si="4"/>
        <v>0</v>
      </c>
      <c r="O57" s="53">
        <f t="shared" si="5"/>
        <v>0</v>
      </c>
      <c r="P57" s="1"/>
      <c r="R57" s="1"/>
      <c r="S57" s="1"/>
      <c r="T57" s="1"/>
      <c r="U57" s="1"/>
    </row>
    <row r="58" spans="2:21">
      <c r="B58" t="str">
        <f t="shared" si="0"/>
        <v/>
      </c>
      <c r="C58" s="49">
        <f>IF(D11="","-",+C57+1)</f>
        <v>2055</v>
      </c>
      <c r="D58" s="54">
        <f>IF(F57+SUM(E$17:E57)=D$10,F57,D$10-SUM(E$17:E57))</f>
        <v>0</v>
      </c>
      <c r="E58" s="377">
        <f t="shared" si="29"/>
        <v>0</v>
      </c>
      <c r="F58" s="54">
        <f t="shared" si="30"/>
        <v>0</v>
      </c>
      <c r="G58" s="378">
        <f t="shared" si="31"/>
        <v>0</v>
      </c>
      <c r="H58" s="359">
        <f t="shared" si="32"/>
        <v>0</v>
      </c>
      <c r="I58" s="51">
        <f t="shared" si="6"/>
        <v>0</v>
      </c>
      <c r="J58" s="51"/>
      <c r="K58" s="112"/>
      <c r="L58" s="53">
        <f t="shared" si="33"/>
        <v>0</v>
      </c>
      <c r="M58" s="112"/>
      <c r="N58" s="53">
        <f t="shared" si="4"/>
        <v>0</v>
      </c>
      <c r="O58" s="53">
        <f t="shared" si="5"/>
        <v>0</v>
      </c>
      <c r="P58" s="1"/>
      <c r="R58" s="1"/>
      <c r="S58" s="1"/>
      <c r="T58" s="1"/>
      <c r="U58" s="1"/>
    </row>
    <row r="59" spans="2:21">
      <c r="B59" t="str">
        <f t="shared" si="0"/>
        <v/>
      </c>
      <c r="C59" s="49">
        <f>IF(D11="","-",+C58+1)</f>
        <v>2056</v>
      </c>
      <c r="D59" s="54">
        <f>IF(F58+SUM(E$17:E58)=D$10,F58,D$10-SUM(E$17:E58))</f>
        <v>0</v>
      </c>
      <c r="E59" s="377">
        <f t="shared" si="29"/>
        <v>0</v>
      </c>
      <c r="F59" s="54">
        <f t="shared" si="30"/>
        <v>0</v>
      </c>
      <c r="G59" s="378">
        <f t="shared" si="31"/>
        <v>0</v>
      </c>
      <c r="H59" s="359">
        <f t="shared" si="32"/>
        <v>0</v>
      </c>
      <c r="I59" s="51">
        <f t="shared" si="6"/>
        <v>0</v>
      </c>
      <c r="J59" s="51"/>
      <c r="K59" s="112"/>
      <c r="L59" s="53">
        <f t="shared" si="33"/>
        <v>0</v>
      </c>
      <c r="M59" s="112"/>
      <c r="N59" s="53">
        <f t="shared" si="4"/>
        <v>0</v>
      </c>
      <c r="O59" s="53">
        <f t="shared" si="5"/>
        <v>0</v>
      </c>
      <c r="P59" s="1"/>
      <c r="R59" s="1"/>
      <c r="S59" s="1"/>
      <c r="T59" s="1"/>
      <c r="U59" s="1"/>
    </row>
    <row r="60" spans="2:21">
      <c r="B60" t="str">
        <f t="shared" si="0"/>
        <v/>
      </c>
      <c r="C60" s="49">
        <f>IF(D11="","-",+C59+1)</f>
        <v>2057</v>
      </c>
      <c r="D60" s="54">
        <f>IF(F59+SUM(E$17:E59)=D$10,F59,D$10-SUM(E$17:E59))</f>
        <v>0</v>
      </c>
      <c r="E60" s="377">
        <f t="shared" si="29"/>
        <v>0</v>
      </c>
      <c r="F60" s="54">
        <f t="shared" si="30"/>
        <v>0</v>
      </c>
      <c r="G60" s="378">
        <f t="shared" si="31"/>
        <v>0</v>
      </c>
      <c r="H60" s="359">
        <f t="shared" si="32"/>
        <v>0</v>
      </c>
      <c r="I60" s="51">
        <f t="shared" si="6"/>
        <v>0</v>
      </c>
      <c r="J60" s="51"/>
      <c r="K60" s="112"/>
      <c r="L60" s="53">
        <f t="shared" si="33"/>
        <v>0</v>
      </c>
      <c r="M60" s="112"/>
      <c r="N60" s="53">
        <f t="shared" si="4"/>
        <v>0</v>
      </c>
      <c r="O60" s="53">
        <f t="shared" si="5"/>
        <v>0</v>
      </c>
      <c r="P60" s="1"/>
      <c r="R60" s="1"/>
      <c r="S60" s="1"/>
      <c r="T60" s="1"/>
      <c r="U60" s="1"/>
    </row>
    <row r="61" spans="2:21">
      <c r="B61" t="str">
        <f t="shared" si="0"/>
        <v/>
      </c>
      <c r="C61" s="49">
        <f>IF(D11="","-",+C60+1)</f>
        <v>2058</v>
      </c>
      <c r="D61" s="54">
        <f>IF(F60+SUM(E$17:E60)=D$10,F60,D$10-SUM(E$17:E60))</f>
        <v>0</v>
      </c>
      <c r="E61" s="377">
        <f t="shared" si="29"/>
        <v>0</v>
      </c>
      <c r="F61" s="54">
        <f t="shared" si="30"/>
        <v>0</v>
      </c>
      <c r="G61" s="378">
        <f t="shared" si="31"/>
        <v>0</v>
      </c>
      <c r="H61" s="359">
        <f t="shared" si="32"/>
        <v>0</v>
      </c>
      <c r="I61" s="51">
        <f t="shared" si="6"/>
        <v>0</v>
      </c>
      <c r="J61" s="51"/>
      <c r="K61" s="112"/>
      <c r="L61" s="53">
        <f t="shared" si="33"/>
        <v>0</v>
      </c>
      <c r="M61" s="112"/>
      <c r="N61" s="53">
        <f t="shared" si="4"/>
        <v>0</v>
      </c>
      <c r="O61" s="53">
        <f t="shared" si="5"/>
        <v>0</v>
      </c>
      <c r="P61" s="1"/>
      <c r="R61" s="1"/>
      <c r="S61" s="1"/>
      <c r="T61" s="1"/>
      <c r="U61" s="1"/>
    </row>
    <row r="62" spans="2:21">
      <c r="B62" t="str">
        <f t="shared" si="0"/>
        <v/>
      </c>
      <c r="C62" s="49">
        <f>IF(D11="","-",+C61+1)</f>
        <v>2059</v>
      </c>
      <c r="D62" s="54">
        <f>IF(F61+SUM(E$17:E61)=D$10,F61,D$10-SUM(E$17:E61))</f>
        <v>0</v>
      </c>
      <c r="E62" s="377">
        <f t="shared" si="29"/>
        <v>0</v>
      </c>
      <c r="F62" s="54">
        <f t="shared" si="30"/>
        <v>0</v>
      </c>
      <c r="G62" s="378">
        <f t="shared" si="31"/>
        <v>0</v>
      </c>
      <c r="H62" s="359">
        <f t="shared" si="32"/>
        <v>0</v>
      </c>
      <c r="I62" s="51">
        <f t="shared" si="6"/>
        <v>0</v>
      </c>
      <c r="J62" s="51"/>
      <c r="K62" s="112"/>
      <c r="L62" s="53">
        <f t="shared" si="33"/>
        <v>0</v>
      </c>
      <c r="M62" s="112"/>
      <c r="N62" s="53">
        <f t="shared" si="4"/>
        <v>0</v>
      </c>
      <c r="O62" s="53">
        <f t="shared" si="5"/>
        <v>0</v>
      </c>
      <c r="P62" s="1"/>
      <c r="R62" s="1"/>
      <c r="S62" s="1"/>
      <c r="T62" s="1"/>
      <c r="U62" s="1"/>
    </row>
    <row r="63" spans="2:21">
      <c r="B63" t="str">
        <f t="shared" si="0"/>
        <v/>
      </c>
      <c r="C63" s="49">
        <f>IF(D11="","-",+C62+1)</f>
        <v>2060</v>
      </c>
      <c r="D63" s="54">
        <f>IF(F62+SUM(E$17:E62)=D$10,F62,D$10-SUM(E$17:E62))</f>
        <v>0</v>
      </c>
      <c r="E63" s="377">
        <f t="shared" si="29"/>
        <v>0</v>
      </c>
      <c r="F63" s="54">
        <f t="shared" si="30"/>
        <v>0</v>
      </c>
      <c r="G63" s="378">
        <f t="shared" si="31"/>
        <v>0</v>
      </c>
      <c r="H63" s="359">
        <f t="shared" si="32"/>
        <v>0</v>
      </c>
      <c r="I63" s="51">
        <f t="shared" si="6"/>
        <v>0</v>
      </c>
      <c r="J63" s="51"/>
      <c r="K63" s="112"/>
      <c r="L63" s="53">
        <f t="shared" si="33"/>
        <v>0</v>
      </c>
      <c r="M63" s="112"/>
      <c r="N63" s="53">
        <f t="shared" si="4"/>
        <v>0</v>
      </c>
      <c r="O63" s="53">
        <f t="shared" si="5"/>
        <v>0</v>
      </c>
      <c r="P63" s="1"/>
      <c r="R63" s="1"/>
      <c r="S63" s="1"/>
      <c r="T63" s="1"/>
      <c r="U63" s="1"/>
    </row>
    <row r="64" spans="2:21">
      <c r="B64" t="str">
        <f t="shared" si="0"/>
        <v/>
      </c>
      <c r="C64" s="49">
        <f>IF(D11="","-",+C63+1)</f>
        <v>2061</v>
      </c>
      <c r="D64" s="54">
        <f>IF(F63+SUM(E$17:E63)=D$10,F63,D$10-SUM(E$17:E63))</f>
        <v>0</v>
      </c>
      <c r="E64" s="377">
        <f t="shared" si="29"/>
        <v>0</v>
      </c>
      <c r="F64" s="54">
        <f t="shared" si="30"/>
        <v>0</v>
      </c>
      <c r="G64" s="378">
        <f t="shared" si="31"/>
        <v>0</v>
      </c>
      <c r="H64" s="359">
        <f t="shared" si="32"/>
        <v>0</v>
      </c>
      <c r="I64" s="51">
        <f t="shared" si="6"/>
        <v>0</v>
      </c>
      <c r="J64" s="51"/>
      <c r="K64" s="112"/>
      <c r="L64" s="53">
        <f t="shared" si="33"/>
        <v>0</v>
      </c>
      <c r="M64" s="112"/>
      <c r="N64" s="53">
        <f t="shared" si="4"/>
        <v>0</v>
      </c>
      <c r="O64" s="53">
        <f t="shared" si="5"/>
        <v>0</v>
      </c>
      <c r="P64" s="1"/>
      <c r="R64" s="1"/>
      <c r="S64" s="1"/>
      <c r="T64" s="1"/>
      <c r="U64" s="1"/>
    </row>
    <row r="65" spans="2:21">
      <c r="B65" t="str">
        <f t="shared" si="0"/>
        <v/>
      </c>
      <c r="C65" s="49">
        <f>IF(D11="","-",+C64+1)</f>
        <v>2062</v>
      </c>
      <c r="D65" s="54">
        <f>IF(F64+SUM(E$17:E64)=D$10,F64,D$10-SUM(E$17:E64))</f>
        <v>0</v>
      </c>
      <c r="E65" s="377">
        <f t="shared" si="29"/>
        <v>0</v>
      </c>
      <c r="F65" s="54">
        <f t="shared" si="30"/>
        <v>0</v>
      </c>
      <c r="G65" s="378">
        <f t="shared" si="31"/>
        <v>0</v>
      </c>
      <c r="H65" s="359">
        <f t="shared" si="32"/>
        <v>0</v>
      </c>
      <c r="I65" s="51">
        <f t="shared" si="6"/>
        <v>0</v>
      </c>
      <c r="J65" s="51"/>
      <c r="K65" s="112"/>
      <c r="L65" s="53">
        <f t="shared" si="33"/>
        <v>0</v>
      </c>
      <c r="M65" s="112"/>
      <c r="N65" s="53">
        <f t="shared" si="4"/>
        <v>0</v>
      </c>
      <c r="O65" s="53">
        <f t="shared" si="5"/>
        <v>0</v>
      </c>
      <c r="P65" s="1"/>
      <c r="R65" s="1"/>
      <c r="S65" s="1"/>
      <c r="T65" s="1"/>
      <c r="U65" s="1"/>
    </row>
    <row r="66" spans="2:21">
      <c r="B66" t="str">
        <f t="shared" si="0"/>
        <v/>
      </c>
      <c r="C66" s="49">
        <f>IF(D11="","-",+C65+1)</f>
        <v>2063</v>
      </c>
      <c r="D66" s="54">
        <f>IF(F65+SUM(E$17:E65)=D$10,F65,D$10-SUM(E$17:E65))</f>
        <v>0</v>
      </c>
      <c r="E66" s="377">
        <f t="shared" si="29"/>
        <v>0</v>
      </c>
      <c r="F66" s="54">
        <f t="shared" si="30"/>
        <v>0</v>
      </c>
      <c r="G66" s="378">
        <f t="shared" si="31"/>
        <v>0</v>
      </c>
      <c r="H66" s="359">
        <f t="shared" si="32"/>
        <v>0</v>
      </c>
      <c r="I66" s="51">
        <f t="shared" si="6"/>
        <v>0</v>
      </c>
      <c r="J66" s="51"/>
      <c r="K66" s="112"/>
      <c r="L66" s="53">
        <f t="shared" si="33"/>
        <v>0</v>
      </c>
      <c r="M66" s="112"/>
      <c r="N66" s="53">
        <f t="shared" si="4"/>
        <v>0</v>
      </c>
      <c r="O66" s="53">
        <f t="shared" si="5"/>
        <v>0</v>
      </c>
      <c r="P66" s="1"/>
      <c r="R66" s="1"/>
      <c r="S66" s="1"/>
      <c r="T66" s="1"/>
      <c r="U66" s="1"/>
    </row>
    <row r="67" spans="2:21">
      <c r="B67" t="str">
        <f t="shared" si="0"/>
        <v/>
      </c>
      <c r="C67" s="49">
        <f>IF(D11="","-",+C66+1)</f>
        <v>2064</v>
      </c>
      <c r="D67" s="54">
        <f>IF(F66+SUM(E$17:E66)=D$10,F66,D$10-SUM(E$17:E66))</f>
        <v>0</v>
      </c>
      <c r="E67" s="377">
        <f t="shared" si="29"/>
        <v>0</v>
      </c>
      <c r="F67" s="54">
        <f t="shared" si="30"/>
        <v>0</v>
      </c>
      <c r="G67" s="378">
        <f t="shared" si="31"/>
        <v>0</v>
      </c>
      <c r="H67" s="359">
        <f t="shared" si="32"/>
        <v>0</v>
      </c>
      <c r="I67" s="51">
        <f t="shared" si="6"/>
        <v>0</v>
      </c>
      <c r="J67" s="51"/>
      <c r="K67" s="112"/>
      <c r="L67" s="53">
        <f t="shared" si="33"/>
        <v>0</v>
      </c>
      <c r="M67" s="112"/>
      <c r="N67" s="53">
        <f t="shared" si="4"/>
        <v>0</v>
      </c>
      <c r="O67" s="53">
        <f t="shared" si="5"/>
        <v>0</v>
      </c>
      <c r="P67" s="1"/>
      <c r="R67" s="1"/>
      <c r="S67" s="1"/>
      <c r="T67" s="1"/>
      <c r="U67" s="1"/>
    </row>
    <row r="68" spans="2:21">
      <c r="B68" t="str">
        <f t="shared" si="0"/>
        <v/>
      </c>
      <c r="C68" s="49">
        <f>IF(D11="","-",+C67+1)</f>
        <v>2065</v>
      </c>
      <c r="D68" s="54">
        <f>IF(F67+SUM(E$17:E67)=D$10,F67,D$10-SUM(E$17:E67))</f>
        <v>0</v>
      </c>
      <c r="E68" s="377">
        <f t="shared" si="29"/>
        <v>0</v>
      </c>
      <c r="F68" s="54">
        <f t="shared" si="30"/>
        <v>0</v>
      </c>
      <c r="G68" s="378">
        <f t="shared" si="31"/>
        <v>0</v>
      </c>
      <c r="H68" s="359">
        <f t="shared" si="32"/>
        <v>0</v>
      </c>
      <c r="I68" s="51">
        <f t="shared" si="6"/>
        <v>0</v>
      </c>
      <c r="J68" s="51"/>
      <c r="K68" s="112"/>
      <c r="L68" s="53">
        <f t="shared" si="33"/>
        <v>0</v>
      </c>
      <c r="M68" s="112"/>
      <c r="N68" s="53">
        <f t="shared" si="4"/>
        <v>0</v>
      </c>
      <c r="O68" s="53">
        <f t="shared" si="5"/>
        <v>0</v>
      </c>
      <c r="P68" s="1"/>
      <c r="R68" s="1"/>
      <c r="S68" s="1"/>
      <c r="T68" s="1"/>
      <c r="U68" s="1"/>
    </row>
    <row r="69" spans="2:21">
      <c r="B69" t="str">
        <f t="shared" si="0"/>
        <v/>
      </c>
      <c r="C69" s="49">
        <f>IF(D11="","-",+C68+1)</f>
        <v>2066</v>
      </c>
      <c r="D69" s="54">
        <f>IF(F68+SUM(E$17:E68)=D$10,F68,D$10-SUM(E$17:E68))</f>
        <v>0</v>
      </c>
      <c r="E69" s="377">
        <f t="shared" si="29"/>
        <v>0</v>
      </c>
      <c r="F69" s="54">
        <f t="shared" si="30"/>
        <v>0</v>
      </c>
      <c r="G69" s="378">
        <f t="shared" si="31"/>
        <v>0</v>
      </c>
      <c r="H69" s="359">
        <f t="shared" si="32"/>
        <v>0</v>
      </c>
      <c r="I69" s="51">
        <f t="shared" si="6"/>
        <v>0</v>
      </c>
      <c r="J69" s="51"/>
      <c r="K69" s="112"/>
      <c r="L69" s="53">
        <f t="shared" si="33"/>
        <v>0</v>
      </c>
      <c r="M69" s="112"/>
      <c r="N69" s="53">
        <f t="shared" si="4"/>
        <v>0</v>
      </c>
      <c r="O69" s="53">
        <f t="shared" si="5"/>
        <v>0</v>
      </c>
      <c r="P69" s="1"/>
      <c r="R69" s="1"/>
      <c r="S69" s="1"/>
      <c r="T69" s="1"/>
      <c r="U69" s="1"/>
    </row>
    <row r="70" spans="2:21">
      <c r="B70" t="str">
        <f t="shared" si="0"/>
        <v/>
      </c>
      <c r="C70" s="49">
        <f>IF(D11="","-",+C69+1)</f>
        <v>2067</v>
      </c>
      <c r="D70" s="54">
        <f>IF(F69+SUM(E$17:E69)=D$10,F69,D$10-SUM(E$17:E69))</f>
        <v>0</v>
      </c>
      <c r="E70" s="377">
        <f t="shared" si="29"/>
        <v>0</v>
      </c>
      <c r="F70" s="54">
        <f t="shared" si="30"/>
        <v>0</v>
      </c>
      <c r="G70" s="378">
        <f t="shared" si="31"/>
        <v>0</v>
      </c>
      <c r="H70" s="359">
        <f t="shared" si="32"/>
        <v>0</v>
      </c>
      <c r="I70" s="51">
        <f t="shared" si="6"/>
        <v>0</v>
      </c>
      <c r="J70" s="51"/>
      <c r="K70" s="112"/>
      <c r="L70" s="53">
        <f t="shared" si="33"/>
        <v>0</v>
      </c>
      <c r="M70" s="112"/>
      <c r="N70" s="53">
        <f t="shared" si="4"/>
        <v>0</v>
      </c>
      <c r="O70" s="53">
        <f t="shared" si="5"/>
        <v>0</v>
      </c>
      <c r="P70" s="1"/>
      <c r="R70" s="1"/>
      <c r="S70" s="1"/>
      <c r="T70" s="1"/>
      <c r="U70" s="1"/>
    </row>
    <row r="71" spans="2:21">
      <c r="B71" t="str">
        <f t="shared" si="0"/>
        <v/>
      </c>
      <c r="C71" s="49">
        <f>IF(D11="","-",+C70+1)</f>
        <v>2068</v>
      </c>
      <c r="D71" s="54">
        <f>IF(F70+SUM(E$17:E70)=D$10,F70,D$10-SUM(E$17:E70))</f>
        <v>0</v>
      </c>
      <c r="E71" s="377">
        <f t="shared" si="29"/>
        <v>0</v>
      </c>
      <c r="F71" s="54">
        <f t="shared" si="30"/>
        <v>0</v>
      </c>
      <c r="G71" s="378">
        <f t="shared" si="31"/>
        <v>0</v>
      </c>
      <c r="H71" s="359">
        <f t="shared" si="32"/>
        <v>0</v>
      </c>
      <c r="I71" s="51">
        <f t="shared" si="6"/>
        <v>0</v>
      </c>
      <c r="J71" s="51"/>
      <c r="K71" s="112"/>
      <c r="L71" s="53">
        <f t="shared" si="33"/>
        <v>0</v>
      </c>
      <c r="M71" s="112"/>
      <c r="N71" s="53">
        <f t="shared" si="4"/>
        <v>0</v>
      </c>
      <c r="O71" s="53">
        <f t="shared" si="5"/>
        <v>0</v>
      </c>
      <c r="P71" s="1"/>
      <c r="R71" s="1"/>
      <c r="S71" s="1"/>
      <c r="T71" s="1"/>
      <c r="U71" s="1"/>
    </row>
    <row r="72" spans="2:21">
      <c r="B72" t="str">
        <f t="shared" si="0"/>
        <v/>
      </c>
      <c r="C72" s="49">
        <f>IF(D11="","-",+C71+1)</f>
        <v>2069</v>
      </c>
      <c r="D72" s="54">
        <f>IF(F71+SUM(E$17:E71)=D$10,F71,D$10-SUM(E$17:E71))</f>
        <v>0</v>
      </c>
      <c r="E72" s="377">
        <f t="shared" si="29"/>
        <v>0</v>
      </c>
      <c r="F72" s="54">
        <f t="shared" si="30"/>
        <v>0</v>
      </c>
      <c r="G72" s="378">
        <f t="shared" si="31"/>
        <v>0</v>
      </c>
      <c r="H72" s="359">
        <f t="shared" si="32"/>
        <v>0</v>
      </c>
      <c r="I72" s="51">
        <f t="shared" si="6"/>
        <v>0</v>
      </c>
      <c r="J72" s="51"/>
      <c r="K72" s="112"/>
      <c r="L72" s="53">
        <f t="shared" si="33"/>
        <v>0</v>
      </c>
      <c r="M72" s="112"/>
      <c r="N72" s="53">
        <f t="shared" si="4"/>
        <v>0</v>
      </c>
      <c r="O72" s="53">
        <f t="shared" si="5"/>
        <v>0</v>
      </c>
      <c r="P72" s="1"/>
      <c r="R72" s="1"/>
      <c r="S72" s="1"/>
      <c r="T72" s="1"/>
      <c r="U72" s="1"/>
    </row>
    <row r="73" spans="2:21" ht="13.5" thickBot="1">
      <c r="B73" t="str">
        <f t="shared" si="0"/>
        <v/>
      </c>
      <c r="C73" s="58">
        <f>IF(D11="","-",+C72+1)</f>
        <v>2070</v>
      </c>
      <c r="D73" s="59">
        <f>IF(F72+SUM(E$17:E72)=D$10,F72,D$10-SUM(E$17:E72))</f>
        <v>0</v>
      </c>
      <c r="E73" s="389">
        <f t="shared" si="29"/>
        <v>0</v>
      </c>
      <c r="F73" s="59">
        <f t="shared" si="30"/>
        <v>0</v>
      </c>
      <c r="G73" s="432">
        <f t="shared" si="31"/>
        <v>0</v>
      </c>
      <c r="H73" s="357">
        <f t="shared" si="32"/>
        <v>0</v>
      </c>
      <c r="I73" s="62">
        <f t="shared" si="6"/>
        <v>0</v>
      </c>
      <c r="J73" s="51"/>
      <c r="K73" s="113"/>
      <c r="L73" s="63">
        <f t="shared" si="33"/>
        <v>0</v>
      </c>
      <c r="M73" s="113"/>
      <c r="N73" s="63">
        <f t="shared" si="4"/>
        <v>0</v>
      </c>
      <c r="O73" s="63">
        <f t="shared" si="5"/>
        <v>0</v>
      </c>
      <c r="P73" s="1"/>
      <c r="R73" s="1"/>
      <c r="S73" s="1"/>
      <c r="T73" s="1"/>
      <c r="U73" s="1"/>
    </row>
    <row r="74" spans="2:21">
      <c r="C74" s="11" t="s">
        <v>75</v>
      </c>
      <c r="D74" s="242"/>
      <c r="E74" s="242">
        <f>SUM(E17:E73)</f>
        <v>10218098.369999995</v>
      </c>
      <c r="F74" s="242"/>
      <c r="G74" s="242">
        <f>SUM(G17:G73)</f>
        <v>29750538.228992615</v>
      </c>
      <c r="H74" s="242">
        <f>SUM(H17:H73)</f>
        <v>29750538.228992615</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7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1164313.8653618579</v>
      </c>
      <c r="N88" s="396">
        <f>IF(J93&lt;D11,0,VLOOKUP(J93,C17:O73,11))</f>
        <v>1164313.8653618579</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1030178.6707471211</v>
      </c>
      <c r="N89" s="399">
        <f>IF(J93&lt;D11,0,VLOOKUP(J93,C100:P155,7))</f>
        <v>1030178.6707471211</v>
      </c>
      <c r="O89" s="70">
        <f>+N89-M89</f>
        <v>0</v>
      </c>
      <c r="P89" s="1"/>
      <c r="Q89" s="1"/>
      <c r="R89" s="1"/>
      <c r="S89" s="1"/>
      <c r="T89" s="1"/>
      <c r="U89" s="1"/>
    </row>
    <row r="90" spans="1:21" ht="13.5" thickBot="1">
      <c r="C90" s="25" t="s">
        <v>82</v>
      </c>
      <c r="D90" s="96" t="str">
        <f>+D7</f>
        <v xml:space="preserve">Cornville Station Conversion </v>
      </c>
      <c r="E90" s="1"/>
      <c r="F90" s="1"/>
      <c r="G90" s="1"/>
      <c r="H90" s="1"/>
      <c r="I90" s="260"/>
      <c r="J90" s="260"/>
      <c r="K90" s="400"/>
      <c r="L90" s="109" t="s">
        <v>135</v>
      </c>
      <c r="M90" s="401">
        <f>+M89-M88</f>
        <v>-134135.19461473683</v>
      </c>
      <c r="N90" s="401">
        <f>+N89-N88</f>
        <v>-134135.19461473683</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tr">
        <f>+D9</f>
        <v>TP2011093</v>
      </c>
      <c r="E92" s="75" t="s">
        <v>310</v>
      </c>
      <c r="F92" s="527">
        <f>F9</f>
        <v>30346</v>
      </c>
      <c r="G92" s="75"/>
      <c r="H92" s="75"/>
      <c r="I92" s="75"/>
      <c r="J92" s="75"/>
      <c r="Q92" s="1"/>
      <c r="R92" s="1"/>
      <c r="S92" s="1"/>
      <c r="T92" s="1"/>
      <c r="U92" s="1"/>
    </row>
    <row r="93" spans="1:21">
      <c r="C93" s="34" t="s">
        <v>49</v>
      </c>
      <c r="D93" s="358">
        <v>10218098.369999999</v>
      </c>
      <c r="E93" s="1" t="s">
        <v>84</v>
      </c>
      <c r="H93" s="2"/>
      <c r="I93" s="2"/>
      <c r="J93" s="36">
        <f>+'OKT.WS.G.BPU.ATRR.True-up'!M16</f>
        <v>2025</v>
      </c>
      <c r="K93" s="33"/>
      <c r="L93" s="242" t="s">
        <v>85</v>
      </c>
      <c r="P93" s="1"/>
      <c r="Q93" s="1"/>
      <c r="R93" s="1"/>
      <c r="S93" s="1"/>
      <c r="T93" s="1"/>
      <c r="U93" s="1"/>
    </row>
    <row r="94" spans="1:21">
      <c r="C94" s="34" t="s">
        <v>52</v>
      </c>
      <c r="D94" s="85">
        <f>IF(D11=I10,"",D11)</f>
        <v>2014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412">
        <f>IF(D11=I10,"",D12)</f>
        <v>10</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319315.57406249997</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B100" t="str">
        <f t="shared" ref="B100:B155" si="34">IF(D100=F99,"","IU")</f>
        <v>IU</v>
      </c>
      <c r="C100" s="49">
        <f>IF(D94= "","-",D94)</f>
        <v>2014</v>
      </c>
      <c r="D100" s="433">
        <v>0</v>
      </c>
      <c r="E100" s="434">
        <v>102248.51895114942</v>
      </c>
      <c r="F100" s="435">
        <v>10064175.65104885</v>
      </c>
      <c r="G100" s="436">
        <v>5032087.8255244251</v>
      </c>
      <c r="H100" s="436">
        <v>643416.4924496013</v>
      </c>
      <c r="I100" s="436">
        <v>643416.4924496013</v>
      </c>
      <c r="J100" s="437">
        <v>0</v>
      </c>
      <c r="K100" s="53"/>
      <c r="L100" s="376">
        <f t="shared" ref="L100:L105" si="35">H100</f>
        <v>643416.4924496013</v>
      </c>
      <c r="M100" s="53">
        <f t="shared" ref="M100:M105" si="36">IF(L100&lt;&gt;0,+H100-L100,0)</f>
        <v>0</v>
      </c>
      <c r="N100" s="376">
        <f t="shared" ref="N100:N105" si="37">I100</f>
        <v>643416.4924496013</v>
      </c>
      <c r="O100" s="53">
        <f>IF(N100&lt;&gt;0,+I100-N100,0)</f>
        <v>0</v>
      </c>
      <c r="P100" s="53">
        <f>+O100-M100</f>
        <v>0</v>
      </c>
      <c r="Q100" s="1"/>
      <c r="R100" s="1"/>
      <c r="S100" s="1"/>
      <c r="T100" s="1"/>
      <c r="U100" s="1"/>
    </row>
    <row r="101" spans="1:21">
      <c r="B101" t="str">
        <f t="shared" si="34"/>
        <v>IU</v>
      </c>
      <c r="C101" s="49">
        <f>IF(D94="","-",+C100+1)</f>
        <v>2015</v>
      </c>
      <c r="D101" s="438">
        <v>10115489.48104885</v>
      </c>
      <c r="E101" s="438">
        <v>212869.54166666666</v>
      </c>
      <c r="F101" s="438">
        <v>9902619.9393821843</v>
      </c>
      <c r="G101" s="438">
        <v>10009054.710215516</v>
      </c>
      <c r="H101" s="438">
        <v>1327171.8833094309</v>
      </c>
      <c r="I101" s="438">
        <v>1327171.8833094309</v>
      </c>
      <c r="J101" s="438">
        <v>0</v>
      </c>
      <c r="K101" s="53"/>
      <c r="L101" s="376">
        <f t="shared" si="35"/>
        <v>1327171.8833094309</v>
      </c>
      <c r="M101" s="53">
        <f t="shared" si="36"/>
        <v>0</v>
      </c>
      <c r="N101" s="376">
        <f t="shared" si="37"/>
        <v>1327171.8833094309</v>
      </c>
      <c r="O101" s="53">
        <f t="shared" ref="O101:O131" si="38">IF(N101&lt;&gt;0,+I101-N101,0)</f>
        <v>0</v>
      </c>
      <c r="P101" s="53">
        <f t="shared" ref="P101:P131" si="39">+O101-M101</f>
        <v>0</v>
      </c>
      <c r="Q101" s="1"/>
      <c r="R101" s="1"/>
      <c r="S101" s="1"/>
      <c r="T101" s="1"/>
      <c r="U101" s="1"/>
    </row>
    <row r="102" spans="1:21">
      <c r="B102" t="str">
        <f t="shared" si="34"/>
        <v>IU</v>
      </c>
      <c r="C102" s="49">
        <f>IF(D94="","-",+C101+1)</f>
        <v>2016</v>
      </c>
      <c r="D102" s="438">
        <v>9902979.9393821843</v>
      </c>
      <c r="E102" s="438">
        <v>200354.86274509804</v>
      </c>
      <c r="F102" s="438">
        <v>9702625.0766370855</v>
      </c>
      <c r="G102" s="438">
        <v>9802802.5080096349</v>
      </c>
      <c r="H102" s="438">
        <v>1262679.2712885526</v>
      </c>
      <c r="I102" s="438">
        <v>1262679.2712885526</v>
      </c>
      <c r="J102" s="53">
        <f t="shared" ref="J102:J155" si="40">+I102-H102</f>
        <v>0</v>
      </c>
      <c r="K102" s="53"/>
      <c r="L102" s="376">
        <f t="shared" si="35"/>
        <v>1262679.2712885526</v>
      </c>
      <c r="M102" s="53">
        <f t="shared" si="36"/>
        <v>0</v>
      </c>
      <c r="N102" s="376">
        <f t="shared" si="37"/>
        <v>1262679.2712885526</v>
      </c>
      <c r="O102" s="53">
        <f>IF(N102&lt;&gt;0,+I102-N102,0)</f>
        <v>0</v>
      </c>
      <c r="P102" s="53">
        <f>+O102-M102</f>
        <v>0</v>
      </c>
      <c r="Q102" s="1"/>
      <c r="R102" s="1"/>
      <c r="S102" s="1"/>
      <c r="T102" s="1"/>
      <c r="U102" s="1"/>
    </row>
    <row r="103" spans="1:21">
      <c r="B103" t="str">
        <f t="shared" si="34"/>
        <v/>
      </c>
      <c r="C103" s="49">
        <f>IF(D94="","-",+C102+1)</f>
        <v>2017</v>
      </c>
      <c r="D103" s="438">
        <v>9702625.0766370855</v>
      </c>
      <c r="E103" s="438">
        <v>255452.45</v>
      </c>
      <c r="F103" s="438">
        <v>9447172.6266370863</v>
      </c>
      <c r="G103" s="438">
        <v>9574898.8516370859</v>
      </c>
      <c r="H103" s="438">
        <v>1378931.4814948814</v>
      </c>
      <c r="I103" s="438">
        <v>1378931.4814948814</v>
      </c>
      <c r="J103" s="53">
        <f t="shared" si="40"/>
        <v>0</v>
      </c>
      <c r="K103" s="53"/>
      <c r="L103" s="376">
        <f t="shared" si="35"/>
        <v>1378931.4814948814</v>
      </c>
      <c r="M103" s="53">
        <f t="shared" si="36"/>
        <v>0</v>
      </c>
      <c r="N103" s="376">
        <f t="shared" si="37"/>
        <v>1378931.4814948814</v>
      </c>
      <c r="O103" s="53">
        <f>IF(N103&lt;&gt;0,+I103-N103,0)</f>
        <v>0</v>
      </c>
      <c r="P103" s="53">
        <f>+O103-M103</f>
        <v>0</v>
      </c>
      <c r="Q103" s="1"/>
      <c r="R103" s="1"/>
      <c r="S103" s="1"/>
      <c r="T103" s="1"/>
      <c r="U103" s="1"/>
    </row>
    <row r="104" spans="1:21">
      <c r="B104" t="str">
        <f t="shared" si="34"/>
        <v/>
      </c>
      <c r="C104" s="49">
        <f>IF(D94="","-",+C103+1)</f>
        <v>2018</v>
      </c>
      <c r="D104" s="438">
        <v>9447172.6266370863</v>
      </c>
      <c r="E104" s="438">
        <v>283836.05555555556</v>
      </c>
      <c r="F104" s="438">
        <v>9163336.5710815303</v>
      </c>
      <c r="G104" s="438">
        <v>9305254.5988593083</v>
      </c>
      <c r="H104" s="438">
        <v>1266121.5205016474</v>
      </c>
      <c r="I104" s="438">
        <v>1266121.5205016474</v>
      </c>
      <c r="J104" s="53">
        <f t="shared" si="40"/>
        <v>0</v>
      </c>
      <c r="K104" s="53"/>
      <c r="L104" s="376">
        <f t="shared" si="35"/>
        <v>1266121.5205016474</v>
      </c>
      <c r="M104" s="53">
        <f t="shared" si="36"/>
        <v>0</v>
      </c>
      <c r="N104" s="376">
        <f t="shared" si="37"/>
        <v>1266121.5205016474</v>
      </c>
      <c r="O104" s="53">
        <f>IF(N104&lt;&gt;0,+I104-N104,0)</f>
        <v>0</v>
      </c>
      <c r="P104" s="53">
        <f>+O104-M104</f>
        <v>0</v>
      </c>
      <c r="Q104" s="1"/>
      <c r="R104" s="1"/>
      <c r="S104" s="1"/>
      <c r="T104" s="1"/>
      <c r="U104" s="1"/>
    </row>
    <row r="105" spans="1:21">
      <c r="B105" t="str">
        <f t="shared" si="34"/>
        <v/>
      </c>
      <c r="C105" s="49">
        <f>IF(D94="","-",+C104+1)</f>
        <v>2019</v>
      </c>
      <c r="D105" s="438">
        <v>9163336.5710815303</v>
      </c>
      <c r="E105" s="438">
        <v>283836.05555555556</v>
      </c>
      <c r="F105" s="438">
        <v>8879500.5155259743</v>
      </c>
      <c r="G105" s="438">
        <v>9021418.5433037523</v>
      </c>
      <c r="H105" s="438">
        <v>1236159.0913345795</v>
      </c>
      <c r="I105" s="438">
        <v>1236159.0913345795</v>
      </c>
      <c r="J105" s="53">
        <f t="shared" si="40"/>
        <v>0</v>
      </c>
      <c r="K105" s="53"/>
      <c r="L105" s="376">
        <f t="shared" si="35"/>
        <v>1236159.0913345795</v>
      </c>
      <c r="M105" s="53">
        <f t="shared" si="36"/>
        <v>0</v>
      </c>
      <c r="N105" s="376">
        <f t="shared" si="37"/>
        <v>1236159.0913345795</v>
      </c>
      <c r="O105" s="53">
        <f>IF(N105&lt;&gt;0,+I105-N105,0)</f>
        <v>0</v>
      </c>
      <c r="P105" s="53">
        <f t="shared" si="39"/>
        <v>0</v>
      </c>
      <c r="Q105" s="1"/>
      <c r="R105" s="1"/>
      <c r="S105" s="1"/>
      <c r="T105" s="1"/>
      <c r="U105" s="1"/>
    </row>
    <row r="106" spans="1:21">
      <c r="B106" t="str">
        <f t="shared" si="34"/>
        <v/>
      </c>
      <c r="C106" s="49">
        <f>IF(D94="","-",+C105+1)</f>
        <v>2020</v>
      </c>
      <c r="D106" s="438">
        <v>8879500.5155259743</v>
      </c>
      <c r="E106" s="438">
        <v>364932.07142857142</v>
      </c>
      <c r="F106" s="438">
        <v>8514568.4440974034</v>
      </c>
      <c r="G106" s="438">
        <v>8697034.4798116889</v>
      </c>
      <c r="H106" s="438">
        <v>1290413.9410906809</v>
      </c>
      <c r="I106" s="438">
        <v>1290413.9410906809</v>
      </c>
      <c r="J106" s="53">
        <f t="shared" si="40"/>
        <v>0</v>
      </c>
      <c r="K106" s="53"/>
      <c r="L106" s="376">
        <f t="shared" ref="L106" si="41">H106</f>
        <v>1290413.9410906809</v>
      </c>
      <c r="M106" s="53">
        <f t="shared" ref="M106" si="42">IF(L106&lt;&gt;0,+H106-L106,0)</f>
        <v>0</v>
      </c>
      <c r="N106" s="376">
        <f t="shared" ref="N106" si="43">I106</f>
        <v>1290413.9410906809</v>
      </c>
      <c r="O106" s="53">
        <f t="shared" si="38"/>
        <v>0</v>
      </c>
      <c r="P106" s="53">
        <f t="shared" si="39"/>
        <v>0</v>
      </c>
      <c r="Q106" s="1"/>
      <c r="R106" s="1"/>
      <c r="S106" s="1"/>
      <c r="T106" s="1"/>
      <c r="U106" s="1"/>
    </row>
    <row r="107" spans="1:21">
      <c r="B107" t="str">
        <f t="shared" si="34"/>
        <v/>
      </c>
      <c r="C107" s="49">
        <f>IF(D94="","-",+C106+1)</f>
        <v>2021</v>
      </c>
      <c r="D107" s="438">
        <v>8514568.4440974034</v>
      </c>
      <c r="E107" s="438">
        <v>408723.92</v>
      </c>
      <c r="F107" s="438">
        <v>8105844.5240974035</v>
      </c>
      <c r="G107" s="438">
        <v>8310206.4840974035</v>
      </c>
      <c r="H107" s="438">
        <v>1389012.6064432291</v>
      </c>
      <c r="I107" s="438">
        <v>1389012.6064432291</v>
      </c>
      <c r="J107" s="53">
        <f t="shared" si="40"/>
        <v>0</v>
      </c>
      <c r="K107" s="53"/>
      <c r="L107" s="376">
        <f t="shared" ref="L107" si="44">H107</f>
        <v>1389012.6064432291</v>
      </c>
      <c r="M107" s="53">
        <f t="shared" ref="M107" si="45">IF(L107&lt;&gt;0,+H107-L107,0)</f>
        <v>0</v>
      </c>
      <c r="N107" s="376">
        <f t="shared" ref="N107" si="46">I107</f>
        <v>1389012.6064432291</v>
      </c>
      <c r="O107" s="53">
        <f t="shared" si="38"/>
        <v>0</v>
      </c>
      <c r="P107" s="53">
        <f t="shared" si="39"/>
        <v>0</v>
      </c>
      <c r="Q107" s="1"/>
      <c r="R107" s="1"/>
      <c r="S107" s="1"/>
      <c r="T107" s="1"/>
      <c r="U107" s="1"/>
    </row>
    <row r="108" spans="1:21">
      <c r="B108" t="str">
        <f t="shared" si="34"/>
        <v/>
      </c>
      <c r="C108" s="49">
        <f>IF(D94="","-",+C107+1)</f>
        <v>2022</v>
      </c>
      <c r="D108" s="438">
        <v>8105844.5240974035</v>
      </c>
      <c r="E108" s="438">
        <v>486576.09523809527</v>
      </c>
      <c r="F108" s="438">
        <v>7619268.4288593084</v>
      </c>
      <c r="G108" s="438">
        <v>7862556.4764783559</v>
      </c>
      <c r="H108" s="438">
        <v>1390502.8888887735</v>
      </c>
      <c r="I108" s="438">
        <v>1390502.8888887735</v>
      </c>
      <c r="J108" s="53">
        <f t="shared" si="40"/>
        <v>0</v>
      </c>
      <c r="K108" s="53"/>
      <c r="L108" s="376">
        <f t="shared" ref="L108" si="47">H108</f>
        <v>1390502.8888887735</v>
      </c>
      <c r="M108" s="53">
        <f t="shared" ref="M108" si="48">IF(L108&lt;&gt;0,+H108-L108,0)</f>
        <v>0</v>
      </c>
      <c r="N108" s="376">
        <f t="shared" ref="N108" si="49">I108</f>
        <v>1390502.8888887735</v>
      </c>
      <c r="O108" s="53">
        <f t="shared" ref="O108" si="50">IF(N108&lt;&gt;0,+I108-N108,0)</f>
        <v>0</v>
      </c>
      <c r="P108" s="53">
        <f t="shared" ref="P108" si="51">+O108-M108</f>
        <v>0</v>
      </c>
      <c r="Q108" s="1"/>
      <c r="R108" s="1"/>
      <c r="S108" s="1"/>
      <c r="T108" s="1"/>
      <c r="U108" s="1"/>
    </row>
    <row r="109" spans="1:21">
      <c r="B109" t="str">
        <f t="shared" si="34"/>
        <v>IU</v>
      </c>
      <c r="C109" s="49">
        <f>IF(D94="","-",+C108+1)</f>
        <v>2023</v>
      </c>
      <c r="D109" s="438">
        <v>7619268.7988593075</v>
      </c>
      <c r="E109" s="438">
        <v>537794.65105263155</v>
      </c>
      <c r="F109" s="438">
        <v>7081474.1478066761</v>
      </c>
      <c r="G109" s="438">
        <v>7350371.4733329918</v>
      </c>
      <c r="H109" s="438">
        <v>1343646.4546388765</v>
      </c>
      <c r="I109" s="438">
        <v>1343646.4546388765</v>
      </c>
      <c r="J109" s="53">
        <f t="shared" si="40"/>
        <v>0</v>
      </c>
      <c r="K109" s="53"/>
      <c r="L109" s="376">
        <f t="shared" ref="L109" si="52">H109</f>
        <v>1343646.4546388765</v>
      </c>
      <c r="M109" s="53">
        <f t="shared" ref="M109" si="53">IF(L109&lt;&gt;0,+H109-L109,0)</f>
        <v>0</v>
      </c>
      <c r="N109" s="376">
        <f t="shared" ref="N109" si="54">I109</f>
        <v>1343646.4546388765</v>
      </c>
      <c r="O109" s="53">
        <f t="shared" ref="O109" si="55">IF(N109&lt;&gt;0,+I109-N109,0)</f>
        <v>0</v>
      </c>
      <c r="P109" s="53">
        <f t="shared" ref="P109" si="56">+O109-M109</f>
        <v>0</v>
      </c>
      <c r="Q109" s="1"/>
      <c r="R109" s="1"/>
      <c r="S109" s="1"/>
      <c r="T109" s="1"/>
      <c r="U109" s="1"/>
    </row>
    <row r="110" spans="1:21">
      <c r="B110" t="str">
        <f t="shared" si="34"/>
        <v/>
      </c>
      <c r="C110" s="49">
        <f>IF(D94="","-",+C109+1)</f>
        <v>2024</v>
      </c>
      <c r="D110" s="438">
        <v>7081474.1478066761</v>
      </c>
      <c r="E110" s="438">
        <v>601064.61</v>
      </c>
      <c r="F110" s="438">
        <v>6480409.5378066758</v>
      </c>
      <c r="G110" s="438">
        <v>6780941.8428066764</v>
      </c>
      <c r="H110" s="438">
        <v>1351885.7867370718</v>
      </c>
      <c r="I110" s="438">
        <v>1351885.7867370718</v>
      </c>
      <c r="J110" s="53">
        <f t="shared" si="40"/>
        <v>0</v>
      </c>
      <c r="K110" s="53"/>
      <c r="L110" s="376">
        <f t="shared" ref="L110" si="57">H110</f>
        <v>1351885.7867370718</v>
      </c>
      <c r="M110" s="53">
        <f t="shared" ref="M110" si="58">IF(L110&lt;&gt;0,+H110-L110,0)</f>
        <v>0</v>
      </c>
      <c r="N110" s="376">
        <f t="shared" ref="N110" si="59">I110</f>
        <v>1351885.7867370718</v>
      </c>
      <c r="O110" s="53">
        <f t="shared" ref="O110" si="60">IF(N110&lt;&gt;0,+I110-N110,0)</f>
        <v>0</v>
      </c>
      <c r="P110" s="53">
        <f t="shared" ref="P110" si="61">+O110-M110</f>
        <v>0</v>
      </c>
      <c r="Q110" s="1"/>
      <c r="R110" s="1"/>
      <c r="S110" s="1"/>
      <c r="T110" s="1"/>
      <c r="U110" s="1"/>
    </row>
    <row r="111" spans="1:21">
      <c r="B111" t="str">
        <f t="shared" si="34"/>
        <v/>
      </c>
      <c r="C111" s="49">
        <f>IF(D94="","-",+C110+1)</f>
        <v>2025</v>
      </c>
      <c r="D111" s="11">
        <f>IF(F110+SUM(E$100:E110)=D$93,F110,D$93-SUM(E$100:E110))</f>
        <v>6480409.5378066758</v>
      </c>
      <c r="E111" s="377">
        <f t="shared" ref="E111:E155" si="62">IF(+$J$97&lt;F110,$J$97,D111)</f>
        <v>319315.57406249997</v>
      </c>
      <c r="F111" s="54">
        <f t="shared" ref="F111:F155" si="63">+D111-E111</f>
        <v>6161093.9637441756</v>
      </c>
      <c r="G111" s="54">
        <f t="shared" ref="G111:G155" si="64">+(F111+D111)/2</f>
        <v>6320751.7507754257</v>
      </c>
      <c r="H111" s="459">
        <f t="shared" ref="H111:H155" si="65">(D111+F111)/2*J$95+E111</f>
        <v>1030178.6707471211</v>
      </c>
      <c r="I111" s="407">
        <f t="shared" ref="I111:I155" si="66">+J$96*G111+E111</f>
        <v>1030178.6707471211</v>
      </c>
      <c r="J111" s="53">
        <f t="shared" si="40"/>
        <v>0</v>
      </c>
      <c r="K111" s="53"/>
      <c r="L111" s="112"/>
      <c r="M111" s="53">
        <f t="shared" ref="M111:M131" si="67">IF(L111&lt;&gt;0,+H111-L111,0)</f>
        <v>0</v>
      </c>
      <c r="N111" s="112"/>
      <c r="O111" s="53">
        <f t="shared" si="38"/>
        <v>0</v>
      </c>
      <c r="P111" s="53">
        <f t="shared" si="39"/>
        <v>0</v>
      </c>
      <c r="Q111" s="1"/>
      <c r="R111" s="1"/>
      <c r="S111" s="1"/>
      <c r="T111" s="1"/>
      <c r="U111" s="1"/>
    </row>
    <row r="112" spans="1:21">
      <c r="B112" t="str">
        <f t="shared" si="34"/>
        <v/>
      </c>
      <c r="C112" s="49">
        <f>IF(D94="","-",+C111+1)</f>
        <v>2026</v>
      </c>
      <c r="D112" s="11">
        <f>IF(F111+SUM(E$100:E111)=D$93,F111,D$93-SUM(E$100:E111))</f>
        <v>6161093.9637441756</v>
      </c>
      <c r="E112" s="377">
        <f t="shared" si="62"/>
        <v>319315.57406249997</v>
      </c>
      <c r="F112" s="54">
        <f t="shared" si="63"/>
        <v>5841778.3896816755</v>
      </c>
      <c r="G112" s="54">
        <f t="shared" si="64"/>
        <v>6001436.1767129255</v>
      </c>
      <c r="H112" s="459">
        <f t="shared" si="65"/>
        <v>994266.85728761461</v>
      </c>
      <c r="I112" s="407">
        <f t="shared" si="66"/>
        <v>994266.85728761461</v>
      </c>
      <c r="J112" s="53">
        <f t="shared" si="40"/>
        <v>0</v>
      </c>
      <c r="K112" s="53"/>
      <c r="L112" s="112"/>
      <c r="M112" s="53">
        <f t="shared" si="67"/>
        <v>0</v>
      </c>
      <c r="N112" s="112"/>
      <c r="O112" s="53">
        <f t="shared" si="38"/>
        <v>0</v>
      </c>
      <c r="P112" s="53">
        <f t="shared" si="39"/>
        <v>0</v>
      </c>
      <c r="Q112" s="1"/>
      <c r="R112" s="1"/>
      <c r="S112" s="1"/>
      <c r="T112" s="1"/>
      <c r="U112" s="1"/>
    </row>
    <row r="113" spans="2:21">
      <c r="B113" t="str">
        <f t="shared" si="34"/>
        <v/>
      </c>
      <c r="C113" s="49">
        <f>IF(D94="","-",+C112+1)</f>
        <v>2027</v>
      </c>
      <c r="D113" s="11">
        <f>IF(F112+SUM(E$100:E112)=D$93,F112,D$93-SUM(E$100:E112))</f>
        <v>5841778.3896816755</v>
      </c>
      <c r="E113" s="377">
        <f t="shared" si="62"/>
        <v>319315.57406249997</v>
      </c>
      <c r="F113" s="54">
        <f t="shared" si="63"/>
        <v>5522462.8156191753</v>
      </c>
      <c r="G113" s="54">
        <f t="shared" si="64"/>
        <v>5682120.6026504254</v>
      </c>
      <c r="H113" s="459">
        <f t="shared" si="65"/>
        <v>958355.04382810812</v>
      </c>
      <c r="I113" s="407">
        <f t="shared" si="66"/>
        <v>958355.04382810812</v>
      </c>
      <c r="J113" s="53">
        <f t="shared" si="40"/>
        <v>0</v>
      </c>
      <c r="K113" s="53"/>
      <c r="L113" s="112"/>
      <c r="M113" s="53">
        <f t="shared" si="67"/>
        <v>0</v>
      </c>
      <c r="N113" s="112"/>
      <c r="O113" s="53">
        <f t="shared" si="38"/>
        <v>0</v>
      </c>
      <c r="P113" s="53">
        <f t="shared" si="39"/>
        <v>0</v>
      </c>
      <c r="Q113" s="1"/>
      <c r="R113" s="1"/>
      <c r="S113" s="1"/>
      <c r="T113" s="1"/>
      <c r="U113" s="1"/>
    </row>
    <row r="114" spans="2:21">
      <c r="B114" t="str">
        <f t="shared" si="34"/>
        <v/>
      </c>
      <c r="C114" s="49">
        <f>IF(D94="","-",+C113+1)</f>
        <v>2028</v>
      </c>
      <c r="D114" s="11">
        <f>IF(F113+SUM(E$100:E113)=D$93,F113,D$93-SUM(E$100:E113))</f>
        <v>5522462.8156191753</v>
      </c>
      <c r="E114" s="377">
        <f t="shared" si="62"/>
        <v>319315.57406249997</v>
      </c>
      <c r="F114" s="54">
        <f t="shared" si="63"/>
        <v>5203147.2415566752</v>
      </c>
      <c r="G114" s="54">
        <f t="shared" si="64"/>
        <v>5362805.0285879252</v>
      </c>
      <c r="H114" s="459">
        <f t="shared" si="65"/>
        <v>922443.23036860162</v>
      </c>
      <c r="I114" s="407">
        <f t="shared" si="66"/>
        <v>922443.23036860162</v>
      </c>
      <c r="J114" s="53">
        <f t="shared" si="40"/>
        <v>0</v>
      </c>
      <c r="K114" s="53"/>
      <c r="L114" s="112"/>
      <c r="M114" s="53">
        <f t="shared" si="67"/>
        <v>0</v>
      </c>
      <c r="N114" s="112"/>
      <c r="O114" s="53">
        <f t="shared" si="38"/>
        <v>0</v>
      </c>
      <c r="P114" s="53">
        <f t="shared" si="39"/>
        <v>0</v>
      </c>
      <c r="Q114" s="1"/>
      <c r="R114" s="1"/>
      <c r="S114" s="1"/>
      <c r="T114" s="1"/>
      <c r="U114" s="1"/>
    </row>
    <row r="115" spans="2:21">
      <c r="B115" t="str">
        <f t="shared" si="34"/>
        <v/>
      </c>
      <c r="C115" s="49">
        <f>IF(D94="","-",+C114+1)</f>
        <v>2029</v>
      </c>
      <c r="D115" s="11">
        <f>IF(F114+SUM(E$100:E114)=D$93,F114,D$93-SUM(E$100:E114))</f>
        <v>5203147.2415566752</v>
      </c>
      <c r="E115" s="377">
        <f t="shared" si="62"/>
        <v>319315.57406249997</v>
      </c>
      <c r="F115" s="54">
        <f t="shared" si="63"/>
        <v>4883831.667494175</v>
      </c>
      <c r="G115" s="54">
        <f t="shared" si="64"/>
        <v>5043489.4545254251</v>
      </c>
      <c r="H115" s="459">
        <f t="shared" si="65"/>
        <v>886531.41690909513</v>
      </c>
      <c r="I115" s="407">
        <f t="shared" si="66"/>
        <v>886531.41690909513</v>
      </c>
      <c r="J115" s="53">
        <f t="shared" si="40"/>
        <v>0</v>
      </c>
      <c r="K115" s="53"/>
      <c r="L115" s="112"/>
      <c r="M115" s="53">
        <f t="shared" si="67"/>
        <v>0</v>
      </c>
      <c r="N115" s="112"/>
      <c r="O115" s="53">
        <f t="shared" si="38"/>
        <v>0</v>
      </c>
      <c r="P115" s="53">
        <f t="shared" si="39"/>
        <v>0</v>
      </c>
      <c r="Q115" s="1"/>
      <c r="R115" s="1"/>
      <c r="S115" s="1"/>
      <c r="T115" s="1"/>
      <c r="U115" s="1"/>
    </row>
    <row r="116" spans="2:21">
      <c r="B116" t="str">
        <f t="shared" si="34"/>
        <v/>
      </c>
      <c r="C116" s="49">
        <f>IF(D94="","-",+C115+1)</f>
        <v>2030</v>
      </c>
      <c r="D116" s="11">
        <f>IF(F115+SUM(E$100:E115)=D$93,F115,D$93-SUM(E$100:E115))</f>
        <v>4883831.667494175</v>
      </c>
      <c r="E116" s="377">
        <f t="shared" si="62"/>
        <v>319315.57406249997</v>
      </c>
      <c r="F116" s="54">
        <f t="shared" si="63"/>
        <v>4564516.0934316749</v>
      </c>
      <c r="G116" s="54">
        <f t="shared" si="64"/>
        <v>4724173.8804629249</v>
      </c>
      <c r="H116" s="459">
        <f t="shared" si="65"/>
        <v>850619.60344958841</v>
      </c>
      <c r="I116" s="407">
        <f t="shared" si="66"/>
        <v>850619.60344958841</v>
      </c>
      <c r="J116" s="53">
        <f t="shared" si="40"/>
        <v>0</v>
      </c>
      <c r="K116" s="53"/>
      <c r="L116" s="112"/>
      <c r="M116" s="53">
        <f t="shared" si="67"/>
        <v>0</v>
      </c>
      <c r="N116" s="112"/>
      <c r="O116" s="53">
        <f t="shared" si="38"/>
        <v>0</v>
      </c>
      <c r="P116" s="53">
        <f t="shared" si="39"/>
        <v>0</v>
      </c>
      <c r="Q116" s="1"/>
      <c r="R116" s="1"/>
      <c r="S116" s="1"/>
      <c r="T116" s="1"/>
      <c r="U116" s="1"/>
    </row>
    <row r="117" spans="2:21">
      <c r="B117" t="str">
        <f t="shared" si="34"/>
        <v/>
      </c>
      <c r="C117" s="49">
        <f>IF(D94="","-",+C116+1)</f>
        <v>2031</v>
      </c>
      <c r="D117" s="11">
        <f>IF(F116+SUM(E$100:E116)=D$93,F116,D$93-SUM(E$100:E116))</f>
        <v>4564516.0934316749</v>
      </c>
      <c r="E117" s="377">
        <f t="shared" si="62"/>
        <v>319315.57406249997</v>
      </c>
      <c r="F117" s="54">
        <f t="shared" si="63"/>
        <v>4245200.5193691747</v>
      </c>
      <c r="G117" s="54">
        <f t="shared" si="64"/>
        <v>4404858.3064004248</v>
      </c>
      <c r="H117" s="459">
        <f t="shared" si="65"/>
        <v>814707.78999008192</v>
      </c>
      <c r="I117" s="407">
        <f t="shared" si="66"/>
        <v>814707.78999008192</v>
      </c>
      <c r="J117" s="53">
        <f t="shared" si="40"/>
        <v>0</v>
      </c>
      <c r="K117" s="53"/>
      <c r="L117" s="112"/>
      <c r="M117" s="53">
        <f t="shared" si="67"/>
        <v>0</v>
      </c>
      <c r="N117" s="112"/>
      <c r="O117" s="53">
        <f t="shared" si="38"/>
        <v>0</v>
      </c>
      <c r="P117" s="53">
        <f t="shared" si="39"/>
        <v>0</v>
      </c>
      <c r="Q117" s="1"/>
      <c r="R117" s="1"/>
      <c r="S117" s="1"/>
      <c r="T117" s="1"/>
      <c r="U117" s="1"/>
    </row>
    <row r="118" spans="2:21">
      <c r="B118" t="str">
        <f t="shared" si="34"/>
        <v/>
      </c>
      <c r="C118" s="49">
        <f>IF(D94="","-",+C117+1)</f>
        <v>2032</v>
      </c>
      <c r="D118" s="11">
        <f>IF(F117+SUM(E$100:E117)=D$93,F117,D$93-SUM(E$100:E117))</f>
        <v>4245200.5193691747</v>
      </c>
      <c r="E118" s="377">
        <f t="shared" si="62"/>
        <v>319315.57406249997</v>
      </c>
      <c r="F118" s="54">
        <f t="shared" si="63"/>
        <v>3925884.9453066746</v>
      </c>
      <c r="G118" s="54">
        <f t="shared" si="64"/>
        <v>4085542.7323379247</v>
      </c>
      <c r="H118" s="459">
        <f t="shared" si="65"/>
        <v>778795.97653057543</v>
      </c>
      <c r="I118" s="407">
        <f t="shared" si="66"/>
        <v>778795.97653057543</v>
      </c>
      <c r="J118" s="53">
        <f t="shared" si="40"/>
        <v>0</v>
      </c>
      <c r="K118" s="53"/>
      <c r="L118" s="112"/>
      <c r="M118" s="53">
        <f t="shared" si="67"/>
        <v>0</v>
      </c>
      <c r="N118" s="112"/>
      <c r="O118" s="53">
        <f t="shared" si="38"/>
        <v>0</v>
      </c>
      <c r="P118" s="53">
        <f t="shared" si="39"/>
        <v>0</v>
      </c>
      <c r="Q118" s="1"/>
      <c r="R118" s="1"/>
      <c r="S118" s="1"/>
      <c r="T118" s="1"/>
      <c r="U118" s="1"/>
    </row>
    <row r="119" spans="2:21">
      <c r="B119" t="str">
        <f t="shared" si="34"/>
        <v/>
      </c>
      <c r="C119" s="49">
        <f>IF(D94="","-",+C118+1)</f>
        <v>2033</v>
      </c>
      <c r="D119" s="11">
        <f>IF(F118+SUM(E$100:E118)=D$93,F118,D$93-SUM(E$100:E118))</f>
        <v>3925884.9453066746</v>
      </c>
      <c r="E119" s="377">
        <f t="shared" si="62"/>
        <v>319315.57406249997</v>
      </c>
      <c r="F119" s="54">
        <f t="shared" si="63"/>
        <v>3606569.3712441744</v>
      </c>
      <c r="G119" s="54">
        <f t="shared" si="64"/>
        <v>3766227.1582754245</v>
      </c>
      <c r="H119" s="459">
        <f t="shared" si="65"/>
        <v>742884.16307106894</v>
      </c>
      <c r="I119" s="407">
        <f t="shared" si="66"/>
        <v>742884.16307106894</v>
      </c>
      <c r="J119" s="53">
        <f t="shared" si="40"/>
        <v>0</v>
      </c>
      <c r="K119" s="53"/>
      <c r="L119" s="112"/>
      <c r="M119" s="53">
        <f t="shared" si="67"/>
        <v>0</v>
      </c>
      <c r="N119" s="112"/>
      <c r="O119" s="53">
        <f t="shared" si="38"/>
        <v>0</v>
      </c>
      <c r="P119" s="53">
        <f t="shared" si="39"/>
        <v>0</v>
      </c>
      <c r="Q119" s="1"/>
      <c r="R119" s="1"/>
      <c r="S119" s="1"/>
      <c r="T119" s="1"/>
      <c r="U119" s="1"/>
    </row>
    <row r="120" spans="2:21">
      <c r="B120" t="str">
        <f t="shared" si="34"/>
        <v/>
      </c>
      <c r="C120" s="49">
        <f>IF(D94="","-",+C119+1)</f>
        <v>2034</v>
      </c>
      <c r="D120" s="11">
        <f>IF(F119+SUM(E$100:E119)=D$93,F119,D$93-SUM(E$100:E119))</f>
        <v>3606569.3712441744</v>
      </c>
      <c r="E120" s="377">
        <f t="shared" si="62"/>
        <v>319315.57406249997</v>
      </c>
      <c r="F120" s="54">
        <f t="shared" si="63"/>
        <v>3287253.7971816743</v>
      </c>
      <c r="G120" s="54">
        <f t="shared" si="64"/>
        <v>3446911.5842129244</v>
      </c>
      <c r="H120" s="459">
        <f t="shared" si="65"/>
        <v>706972.34961156244</v>
      </c>
      <c r="I120" s="407">
        <f t="shared" si="66"/>
        <v>706972.34961156244</v>
      </c>
      <c r="J120" s="53">
        <f t="shared" si="40"/>
        <v>0</v>
      </c>
      <c r="K120" s="53"/>
      <c r="L120" s="112"/>
      <c r="M120" s="53">
        <f t="shared" si="67"/>
        <v>0</v>
      </c>
      <c r="N120" s="112"/>
      <c r="O120" s="53">
        <f t="shared" si="38"/>
        <v>0</v>
      </c>
      <c r="P120" s="53">
        <f t="shared" si="39"/>
        <v>0</v>
      </c>
      <c r="Q120" s="1"/>
      <c r="R120" s="1"/>
      <c r="S120" s="1"/>
      <c r="T120" s="1"/>
      <c r="U120" s="1"/>
    </row>
    <row r="121" spans="2:21">
      <c r="B121" t="str">
        <f t="shared" si="34"/>
        <v/>
      </c>
      <c r="C121" s="49">
        <f>IF(D94="","-",+C120+1)</f>
        <v>2035</v>
      </c>
      <c r="D121" s="11">
        <f>IF(F120+SUM(E$100:E120)=D$93,F120,D$93-SUM(E$100:E120))</f>
        <v>3287253.7971816743</v>
      </c>
      <c r="E121" s="377">
        <f t="shared" si="62"/>
        <v>319315.57406249997</v>
      </c>
      <c r="F121" s="54">
        <f t="shared" si="63"/>
        <v>2967938.2231191741</v>
      </c>
      <c r="G121" s="54">
        <f t="shared" si="64"/>
        <v>3127596.0101504242</v>
      </c>
      <c r="H121" s="459">
        <f t="shared" si="65"/>
        <v>671060.53615205595</v>
      </c>
      <c r="I121" s="407">
        <f t="shared" si="66"/>
        <v>671060.53615205595</v>
      </c>
      <c r="J121" s="53">
        <f t="shared" si="40"/>
        <v>0</v>
      </c>
      <c r="K121" s="53"/>
      <c r="L121" s="112"/>
      <c r="M121" s="53">
        <f t="shared" si="67"/>
        <v>0</v>
      </c>
      <c r="N121" s="112"/>
      <c r="O121" s="53">
        <f t="shared" si="38"/>
        <v>0</v>
      </c>
      <c r="P121" s="53">
        <f t="shared" si="39"/>
        <v>0</v>
      </c>
      <c r="Q121" s="1"/>
      <c r="R121" s="1"/>
      <c r="S121" s="1"/>
      <c r="T121" s="1"/>
      <c r="U121" s="1"/>
    </row>
    <row r="122" spans="2:21">
      <c r="B122" t="str">
        <f t="shared" si="34"/>
        <v/>
      </c>
      <c r="C122" s="49">
        <f>IF(D94="","-",+C121+1)</f>
        <v>2036</v>
      </c>
      <c r="D122" s="11">
        <f>IF(F121+SUM(E$100:E121)=D$93,F121,D$93-SUM(E$100:E121))</f>
        <v>2967938.2231191741</v>
      </c>
      <c r="E122" s="377">
        <f t="shared" si="62"/>
        <v>319315.57406249997</v>
      </c>
      <c r="F122" s="54">
        <f t="shared" si="63"/>
        <v>2648622.649056674</v>
      </c>
      <c r="G122" s="54">
        <f t="shared" si="64"/>
        <v>2808280.4360879241</v>
      </c>
      <c r="H122" s="459">
        <f t="shared" si="65"/>
        <v>635148.72269254935</v>
      </c>
      <c r="I122" s="407">
        <f t="shared" si="66"/>
        <v>635148.72269254935</v>
      </c>
      <c r="J122" s="53">
        <f t="shared" si="40"/>
        <v>0</v>
      </c>
      <c r="K122" s="53"/>
      <c r="L122" s="112"/>
      <c r="M122" s="53">
        <f t="shared" si="67"/>
        <v>0</v>
      </c>
      <c r="N122" s="112"/>
      <c r="O122" s="53">
        <f t="shared" si="38"/>
        <v>0</v>
      </c>
      <c r="P122" s="53">
        <f t="shared" si="39"/>
        <v>0</v>
      </c>
      <c r="Q122" s="1"/>
      <c r="R122" s="1"/>
      <c r="S122" s="1"/>
      <c r="T122" s="1"/>
      <c r="U122" s="1"/>
    </row>
    <row r="123" spans="2:21">
      <c r="B123" t="str">
        <f t="shared" si="34"/>
        <v/>
      </c>
      <c r="C123" s="49">
        <f>IF(D94="","-",+C122+1)</f>
        <v>2037</v>
      </c>
      <c r="D123" s="11">
        <f>IF(F122+SUM(E$100:E122)=D$93,F122,D$93-SUM(E$100:E122))</f>
        <v>2648622.649056674</v>
      </c>
      <c r="E123" s="377">
        <f t="shared" si="62"/>
        <v>319315.57406249997</v>
      </c>
      <c r="F123" s="54">
        <f t="shared" si="63"/>
        <v>2329307.0749941738</v>
      </c>
      <c r="G123" s="54">
        <f t="shared" si="64"/>
        <v>2488964.8620254239</v>
      </c>
      <c r="H123" s="459">
        <f t="shared" si="65"/>
        <v>599236.90923304285</v>
      </c>
      <c r="I123" s="407">
        <f t="shared" si="66"/>
        <v>599236.90923304285</v>
      </c>
      <c r="J123" s="53">
        <f t="shared" si="40"/>
        <v>0</v>
      </c>
      <c r="K123" s="53"/>
      <c r="L123" s="112"/>
      <c r="M123" s="53">
        <f t="shared" si="67"/>
        <v>0</v>
      </c>
      <c r="N123" s="112"/>
      <c r="O123" s="53">
        <f t="shared" si="38"/>
        <v>0</v>
      </c>
      <c r="P123" s="53">
        <f t="shared" si="39"/>
        <v>0</v>
      </c>
      <c r="Q123" s="1"/>
      <c r="R123" s="1"/>
      <c r="S123" s="1"/>
      <c r="T123" s="1"/>
      <c r="U123" s="1"/>
    </row>
    <row r="124" spans="2:21">
      <c r="B124" t="str">
        <f t="shared" si="34"/>
        <v/>
      </c>
      <c r="C124" s="49">
        <f>IF(D94="","-",+C123+1)</f>
        <v>2038</v>
      </c>
      <c r="D124" s="11">
        <f>IF(F123+SUM(E$100:E123)=D$93,F123,D$93-SUM(E$100:E123))</f>
        <v>2329307.0749941738</v>
      </c>
      <c r="E124" s="377">
        <f t="shared" si="62"/>
        <v>319315.57406249997</v>
      </c>
      <c r="F124" s="54">
        <f t="shared" si="63"/>
        <v>2009991.5009316739</v>
      </c>
      <c r="G124" s="54">
        <f t="shared" si="64"/>
        <v>2169649.2879629238</v>
      </c>
      <c r="H124" s="459">
        <f t="shared" si="65"/>
        <v>563325.09577353636</v>
      </c>
      <c r="I124" s="407">
        <f t="shared" si="66"/>
        <v>563325.09577353636</v>
      </c>
      <c r="J124" s="53">
        <f t="shared" si="40"/>
        <v>0</v>
      </c>
      <c r="K124" s="53"/>
      <c r="L124" s="112"/>
      <c r="M124" s="53">
        <f t="shared" si="67"/>
        <v>0</v>
      </c>
      <c r="N124" s="112"/>
      <c r="O124" s="53">
        <f t="shared" si="38"/>
        <v>0</v>
      </c>
      <c r="P124" s="53">
        <f t="shared" si="39"/>
        <v>0</v>
      </c>
      <c r="Q124" s="1"/>
      <c r="R124" s="1"/>
      <c r="S124" s="1"/>
      <c r="T124" s="1"/>
      <c r="U124" s="1"/>
    </row>
    <row r="125" spans="2:21">
      <c r="B125" t="str">
        <f t="shared" si="34"/>
        <v/>
      </c>
      <c r="C125" s="49">
        <f>IF(D94="","-",+C124+1)</f>
        <v>2039</v>
      </c>
      <c r="D125" s="11">
        <f>IF(F124+SUM(E$100:E124)=D$93,F124,D$93-SUM(E$100:E124))</f>
        <v>2009991.5009316739</v>
      </c>
      <c r="E125" s="377">
        <f t="shared" si="62"/>
        <v>319315.57406249997</v>
      </c>
      <c r="F125" s="54">
        <f t="shared" si="63"/>
        <v>1690675.926869174</v>
      </c>
      <c r="G125" s="54">
        <f t="shared" si="64"/>
        <v>1850333.7139004241</v>
      </c>
      <c r="H125" s="459">
        <f t="shared" si="65"/>
        <v>527413.28231402987</v>
      </c>
      <c r="I125" s="407">
        <f t="shared" si="66"/>
        <v>527413.28231402987</v>
      </c>
      <c r="J125" s="53">
        <f t="shared" si="40"/>
        <v>0</v>
      </c>
      <c r="K125" s="53"/>
      <c r="L125" s="112"/>
      <c r="M125" s="53">
        <f t="shared" si="67"/>
        <v>0</v>
      </c>
      <c r="N125" s="112"/>
      <c r="O125" s="53">
        <f t="shared" si="38"/>
        <v>0</v>
      </c>
      <c r="P125" s="53">
        <f t="shared" si="39"/>
        <v>0</v>
      </c>
      <c r="Q125" s="1"/>
      <c r="R125" s="1"/>
      <c r="S125" s="1"/>
      <c r="T125" s="1"/>
      <c r="U125" s="1"/>
    </row>
    <row r="126" spans="2:21">
      <c r="B126" t="str">
        <f t="shared" si="34"/>
        <v/>
      </c>
      <c r="C126" s="49">
        <f>IF(D94="","-",+C125+1)</f>
        <v>2040</v>
      </c>
      <c r="D126" s="11">
        <f>IF(F125+SUM(E$100:E125)=D$93,F125,D$93-SUM(E$100:E125))</f>
        <v>1690675.926869174</v>
      </c>
      <c r="E126" s="377">
        <f t="shared" si="62"/>
        <v>319315.57406249997</v>
      </c>
      <c r="F126" s="54">
        <f t="shared" si="63"/>
        <v>1371360.3528066741</v>
      </c>
      <c r="G126" s="54">
        <f t="shared" si="64"/>
        <v>1531018.1398379239</v>
      </c>
      <c r="H126" s="459">
        <f t="shared" si="65"/>
        <v>491501.46885452332</v>
      </c>
      <c r="I126" s="407">
        <f t="shared" si="66"/>
        <v>491501.46885452332</v>
      </c>
      <c r="J126" s="53">
        <f t="shared" si="40"/>
        <v>0</v>
      </c>
      <c r="K126" s="53"/>
      <c r="L126" s="112"/>
      <c r="M126" s="53">
        <f t="shared" si="67"/>
        <v>0</v>
      </c>
      <c r="N126" s="112"/>
      <c r="O126" s="53">
        <f t="shared" si="38"/>
        <v>0</v>
      </c>
      <c r="P126" s="53">
        <f t="shared" si="39"/>
        <v>0</v>
      </c>
      <c r="Q126" s="1"/>
      <c r="R126" s="1"/>
      <c r="S126" s="1"/>
      <c r="T126" s="1"/>
      <c r="U126" s="1"/>
    </row>
    <row r="127" spans="2:21">
      <c r="B127" t="str">
        <f t="shared" si="34"/>
        <v/>
      </c>
      <c r="C127" s="49">
        <f>IF(D94="","-",+C126+1)</f>
        <v>2041</v>
      </c>
      <c r="D127" s="11">
        <f>IF(F126+SUM(E$100:E126)=D$93,F126,D$93-SUM(E$100:E126))</f>
        <v>1371360.3528066741</v>
      </c>
      <c r="E127" s="377">
        <f t="shared" si="62"/>
        <v>319315.57406249997</v>
      </c>
      <c r="F127" s="54">
        <f t="shared" si="63"/>
        <v>1052044.7787441742</v>
      </c>
      <c r="G127" s="54">
        <f t="shared" si="64"/>
        <v>1211702.5657754242</v>
      </c>
      <c r="H127" s="459">
        <f t="shared" si="65"/>
        <v>455589.65539501689</v>
      </c>
      <c r="I127" s="407">
        <f t="shared" si="66"/>
        <v>455589.65539501689</v>
      </c>
      <c r="J127" s="53">
        <f t="shared" si="40"/>
        <v>0</v>
      </c>
      <c r="K127" s="53"/>
      <c r="L127" s="112"/>
      <c r="M127" s="53">
        <f t="shared" si="67"/>
        <v>0</v>
      </c>
      <c r="N127" s="112"/>
      <c r="O127" s="53">
        <f t="shared" si="38"/>
        <v>0</v>
      </c>
      <c r="P127" s="53">
        <f t="shared" si="39"/>
        <v>0</v>
      </c>
      <c r="Q127" s="1"/>
      <c r="R127" s="1"/>
      <c r="S127" s="1"/>
      <c r="T127" s="1"/>
      <c r="U127" s="1"/>
    </row>
    <row r="128" spans="2:21">
      <c r="B128" t="str">
        <f t="shared" si="34"/>
        <v/>
      </c>
      <c r="C128" s="49">
        <f>IF(D94="","-",+C127+1)</f>
        <v>2042</v>
      </c>
      <c r="D128" s="11">
        <f>IF(F127+SUM(E$100:E127)=D$93,F127,D$93-SUM(E$100:E127))</f>
        <v>1052044.7787441742</v>
      </c>
      <c r="E128" s="377">
        <f t="shared" si="62"/>
        <v>319315.57406249997</v>
      </c>
      <c r="F128" s="54">
        <f t="shared" si="63"/>
        <v>732729.20468167425</v>
      </c>
      <c r="G128" s="54">
        <f t="shared" si="64"/>
        <v>892386.99171292421</v>
      </c>
      <c r="H128" s="459">
        <f t="shared" si="65"/>
        <v>419677.84193551034</v>
      </c>
      <c r="I128" s="407">
        <f t="shared" si="66"/>
        <v>419677.84193551034</v>
      </c>
      <c r="J128" s="53">
        <f t="shared" si="40"/>
        <v>0</v>
      </c>
      <c r="K128" s="53"/>
      <c r="L128" s="112"/>
      <c r="M128" s="53">
        <f t="shared" si="67"/>
        <v>0</v>
      </c>
      <c r="N128" s="112"/>
      <c r="O128" s="53">
        <f t="shared" si="38"/>
        <v>0</v>
      </c>
      <c r="P128" s="53">
        <f t="shared" si="39"/>
        <v>0</v>
      </c>
      <c r="Q128" s="1"/>
      <c r="R128" s="1"/>
      <c r="S128" s="1"/>
      <c r="T128" s="1"/>
      <c r="U128" s="1"/>
    </row>
    <row r="129" spans="2:21">
      <c r="B129" t="str">
        <f t="shared" si="34"/>
        <v/>
      </c>
      <c r="C129" s="49">
        <f>IF(D94="","-",+C128+1)</f>
        <v>2043</v>
      </c>
      <c r="D129" s="11">
        <f>IF(F128+SUM(E$100:E128)=D$93,F128,D$93-SUM(E$100:E128))</f>
        <v>732729.20468167425</v>
      </c>
      <c r="E129" s="377">
        <f t="shared" si="62"/>
        <v>319315.57406249997</v>
      </c>
      <c r="F129" s="54">
        <f t="shared" si="63"/>
        <v>413413.63061917428</v>
      </c>
      <c r="G129" s="54">
        <f t="shared" si="64"/>
        <v>573071.41765042429</v>
      </c>
      <c r="H129" s="459">
        <f t="shared" si="65"/>
        <v>383766.02847600385</v>
      </c>
      <c r="I129" s="407">
        <f t="shared" si="66"/>
        <v>383766.02847600385</v>
      </c>
      <c r="J129" s="53">
        <f t="shared" si="40"/>
        <v>0</v>
      </c>
      <c r="K129" s="53"/>
      <c r="L129" s="112"/>
      <c r="M129" s="53">
        <f t="shared" si="67"/>
        <v>0</v>
      </c>
      <c r="N129" s="112"/>
      <c r="O129" s="53">
        <f t="shared" si="38"/>
        <v>0</v>
      </c>
      <c r="P129" s="53">
        <f t="shared" si="39"/>
        <v>0</v>
      </c>
      <c r="Q129" s="1"/>
      <c r="R129" s="1"/>
      <c r="S129" s="1"/>
      <c r="T129" s="1"/>
      <c r="U129" s="1"/>
    </row>
    <row r="130" spans="2:21">
      <c r="B130" t="str">
        <f t="shared" si="34"/>
        <v/>
      </c>
      <c r="C130" s="49">
        <f>IF(D94="","-",+C129+1)</f>
        <v>2044</v>
      </c>
      <c r="D130" s="11">
        <f>IF(F129+SUM(E$100:E129)=D$93,F129,D$93-SUM(E$100:E129))</f>
        <v>413413.63061917428</v>
      </c>
      <c r="E130" s="377">
        <f t="shared" si="62"/>
        <v>319315.57406249997</v>
      </c>
      <c r="F130" s="54">
        <f t="shared" si="63"/>
        <v>94098.056556674303</v>
      </c>
      <c r="G130" s="54">
        <f t="shared" si="64"/>
        <v>253755.84358792429</v>
      </c>
      <c r="H130" s="459">
        <f t="shared" si="65"/>
        <v>347854.21501649736</v>
      </c>
      <c r="I130" s="407">
        <f t="shared" si="66"/>
        <v>347854.21501649736</v>
      </c>
      <c r="J130" s="53">
        <f t="shared" si="40"/>
        <v>0</v>
      </c>
      <c r="K130" s="53"/>
      <c r="L130" s="112"/>
      <c r="M130" s="53">
        <f t="shared" si="67"/>
        <v>0</v>
      </c>
      <c r="N130" s="112"/>
      <c r="O130" s="53">
        <f t="shared" si="38"/>
        <v>0</v>
      </c>
      <c r="P130" s="53">
        <f t="shared" si="39"/>
        <v>0</v>
      </c>
      <c r="Q130" s="1"/>
      <c r="R130" s="1"/>
      <c r="S130" s="1"/>
      <c r="T130" s="1"/>
      <c r="U130" s="1"/>
    </row>
    <row r="131" spans="2:21">
      <c r="B131" t="str">
        <f t="shared" si="34"/>
        <v/>
      </c>
      <c r="C131" s="49">
        <f>IF(D94="","-",+C130+1)</f>
        <v>2045</v>
      </c>
      <c r="D131" s="11">
        <f>IF(F130+SUM(E$100:E130)=D$93,F130,D$93-SUM(E$100:E130))</f>
        <v>94098.056556674303</v>
      </c>
      <c r="E131" s="377">
        <f t="shared" si="62"/>
        <v>94098.056556674303</v>
      </c>
      <c r="F131" s="54">
        <f t="shared" si="63"/>
        <v>0</v>
      </c>
      <c r="G131" s="54">
        <f t="shared" si="64"/>
        <v>47049.028278337151</v>
      </c>
      <c r="H131" s="459">
        <f t="shared" si="65"/>
        <v>99389.423668796371</v>
      </c>
      <c r="I131" s="407">
        <f t="shared" si="66"/>
        <v>99389.423668796371</v>
      </c>
      <c r="J131" s="53">
        <f t="shared" si="40"/>
        <v>0</v>
      </c>
      <c r="K131" s="53"/>
      <c r="L131" s="112"/>
      <c r="M131" s="53">
        <f t="shared" si="67"/>
        <v>0</v>
      </c>
      <c r="N131" s="112"/>
      <c r="O131" s="53">
        <f t="shared" si="38"/>
        <v>0</v>
      </c>
      <c r="P131" s="53">
        <f t="shared" si="39"/>
        <v>0</v>
      </c>
      <c r="Q131" s="1"/>
      <c r="R131" s="1"/>
      <c r="S131" s="1"/>
      <c r="T131" s="1"/>
      <c r="U131" s="1"/>
    </row>
    <row r="132" spans="2:21">
      <c r="B132" t="str">
        <f t="shared" si="34"/>
        <v/>
      </c>
      <c r="C132" s="49">
        <f>IF(D94="","-",+C131+1)</f>
        <v>2046</v>
      </c>
      <c r="D132" s="11">
        <f>IF(F131+SUM(E$100:E131)=D$93,F131,D$93-SUM(E$100:E131))</f>
        <v>0</v>
      </c>
      <c r="E132" s="377">
        <f t="shared" si="62"/>
        <v>0</v>
      </c>
      <c r="F132" s="54">
        <f t="shared" si="63"/>
        <v>0</v>
      </c>
      <c r="G132" s="54">
        <f t="shared" si="64"/>
        <v>0</v>
      </c>
      <c r="H132" s="459">
        <f t="shared" si="65"/>
        <v>0</v>
      </c>
      <c r="I132" s="407">
        <f t="shared" si="66"/>
        <v>0</v>
      </c>
      <c r="J132" s="53">
        <f t="shared" si="40"/>
        <v>0</v>
      </c>
      <c r="K132" s="53"/>
      <c r="L132" s="112"/>
      <c r="M132" s="53">
        <f t="shared" ref="M132:M155" si="68">IF(L542&lt;&gt;0,+H542-L542,0)</f>
        <v>0</v>
      </c>
      <c r="N132" s="112"/>
      <c r="O132" s="53">
        <f t="shared" ref="O132:O155" si="69">IF(N542&lt;&gt;0,+I542-N542,0)</f>
        <v>0</v>
      </c>
      <c r="P132" s="53">
        <f t="shared" ref="P132:P155" si="70">+O542-M542</f>
        <v>0</v>
      </c>
      <c r="Q132" s="1"/>
      <c r="R132" s="1"/>
      <c r="S132" s="1"/>
      <c r="T132" s="1"/>
      <c r="U132" s="1"/>
    </row>
    <row r="133" spans="2:21">
      <c r="B133" t="str">
        <f t="shared" si="34"/>
        <v/>
      </c>
      <c r="C133" s="49">
        <f>IF(D94="","-",+C132+1)</f>
        <v>2047</v>
      </c>
      <c r="D133" s="11">
        <f>IF(F132+SUM(E$100:E132)=D$93,F132,D$93-SUM(E$100:E132))</f>
        <v>0</v>
      </c>
      <c r="E133" s="377">
        <f t="shared" si="62"/>
        <v>0</v>
      </c>
      <c r="F133" s="54">
        <f t="shared" si="63"/>
        <v>0</v>
      </c>
      <c r="G133" s="54">
        <f t="shared" si="64"/>
        <v>0</v>
      </c>
      <c r="H133" s="459">
        <f t="shared" si="65"/>
        <v>0</v>
      </c>
      <c r="I133" s="407">
        <f t="shared" si="66"/>
        <v>0</v>
      </c>
      <c r="J133" s="53">
        <f t="shared" si="40"/>
        <v>0</v>
      </c>
      <c r="K133" s="53"/>
      <c r="L133" s="112"/>
      <c r="M133" s="53">
        <f t="shared" si="68"/>
        <v>0</v>
      </c>
      <c r="N133" s="112"/>
      <c r="O133" s="53">
        <f t="shared" si="69"/>
        <v>0</v>
      </c>
      <c r="P133" s="53">
        <f t="shared" si="70"/>
        <v>0</v>
      </c>
      <c r="Q133" s="1"/>
      <c r="R133" s="1"/>
      <c r="S133" s="1"/>
      <c r="T133" s="1"/>
      <c r="U133" s="1"/>
    </row>
    <row r="134" spans="2:21">
      <c r="B134" t="str">
        <f t="shared" si="34"/>
        <v/>
      </c>
      <c r="C134" s="49">
        <f>IF(D94="","-",+C133+1)</f>
        <v>2048</v>
      </c>
      <c r="D134" s="11">
        <f>IF(F133+SUM(E$100:E133)=D$93,F133,D$93-SUM(E$100:E133))</f>
        <v>0</v>
      </c>
      <c r="E134" s="377">
        <f t="shared" si="62"/>
        <v>0</v>
      </c>
      <c r="F134" s="54">
        <f t="shared" si="63"/>
        <v>0</v>
      </c>
      <c r="G134" s="54">
        <f t="shared" si="64"/>
        <v>0</v>
      </c>
      <c r="H134" s="459">
        <f t="shared" si="65"/>
        <v>0</v>
      </c>
      <c r="I134" s="407">
        <f t="shared" si="66"/>
        <v>0</v>
      </c>
      <c r="J134" s="53">
        <f t="shared" si="40"/>
        <v>0</v>
      </c>
      <c r="K134" s="53"/>
      <c r="L134" s="112"/>
      <c r="M134" s="53">
        <f t="shared" si="68"/>
        <v>0</v>
      </c>
      <c r="N134" s="112"/>
      <c r="O134" s="53">
        <f t="shared" si="69"/>
        <v>0</v>
      </c>
      <c r="P134" s="53">
        <f t="shared" si="70"/>
        <v>0</v>
      </c>
      <c r="Q134" s="1"/>
      <c r="R134" s="1"/>
      <c r="S134" s="1"/>
      <c r="T134" s="1"/>
      <c r="U134" s="1"/>
    </row>
    <row r="135" spans="2:21">
      <c r="B135" t="str">
        <f t="shared" si="34"/>
        <v/>
      </c>
      <c r="C135" s="49">
        <f>IF(D94="","-",+C134+1)</f>
        <v>2049</v>
      </c>
      <c r="D135" s="11">
        <f>IF(F134+SUM(E$100:E134)=D$93,F134,D$93-SUM(E$100:E134))</f>
        <v>0</v>
      </c>
      <c r="E135" s="377">
        <f t="shared" si="62"/>
        <v>0</v>
      </c>
      <c r="F135" s="54">
        <f t="shared" si="63"/>
        <v>0</v>
      </c>
      <c r="G135" s="54">
        <f t="shared" si="64"/>
        <v>0</v>
      </c>
      <c r="H135" s="459">
        <f t="shared" si="65"/>
        <v>0</v>
      </c>
      <c r="I135" s="407">
        <f t="shared" si="66"/>
        <v>0</v>
      </c>
      <c r="J135" s="53">
        <f t="shared" si="40"/>
        <v>0</v>
      </c>
      <c r="K135" s="53"/>
      <c r="L135" s="112"/>
      <c r="M135" s="53">
        <f t="shared" si="68"/>
        <v>0</v>
      </c>
      <c r="N135" s="112"/>
      <c r="O135" s="53">
        <f t="shared" si="69"/>
        <v>0</v>
      </c>
      <c r="P135" s="53">
        <f t="shared" si="70"/>
        <v>0</v>
      </c>
      <c r="Q135" s="1"/>
      <c r="R135" s="1"/>
      <c r="S135" s="1"/>
      <c r="T135" s="1"/>
      <c r="U135" s="1"/>
    </row>
    <row r="136" spans="2:21">
      <c r="B136" t="str">
        <f t="shared" si="34"/>
        <v/>
      </c>
      <c r="C136" s="49">
        <f>IF(D94="","-",+C135+1)</f>
        <v>2050</v>
      </c>
      <c r="D136" s="11">
        <f>IF(F135+SUM(E$100:E135)=D$93,F135,D$93-SUM(E$100:E135))</f>
        <v>0</v>
      </c>
      <c r="E136" s="377">
        <f t="shared" si="62"/>
        <v>0</v>
      </c>
      <c r="F136" s="54">
        <f t="shared" si="63"/>
        <v>0</v>
      </c>
      <c r="G136" s="54">
        <f t="shared" si="64"/>
        <v>0</v>
      </c>
      <c r="H136" s="459">
        <f t="shared" si="65"/>
        <v>0</v>
      </c>
      <c r="I136" s="407">
        <f t="shared" si="66"/>
        <v>0</v>
      </c>
      <c r="J136" s="53">
        <f t="shared" si="40"/>
        <v>0</v>
      </c>
      <c r="K136" s="53"/>
      <c r="L136" s="112"/>
      <c r="M136" s="53">
        <f t="shared" si="68"/>
        <v>0</v>
      </c>
      <c r="N136" s="112"/>
      <c r="O136" s="53">
        <f t="shared" si="69"/>
        <v>0</v>
      </c>
      <c r="P136" s="53">
        <f t="shared" si="70"/>
        <v>0</v>
      </c>
      <c r="Q136" s="1"/>
      <c r="R136" s="1"/>
      <c r="S136" s="1"/>
      <c r="T136" s="1"/>
      <c r="U136" s="1"/>
    </row>
    <row r="137" spans="2:21">
      <c r="B137" t="str">
        <f t="shared" si="34"/>
        <v/>
      </c>
      <c r="C137" s="49">
        <f>IF(D94="","-",+C136+1)</f>
        <v>2051</v>
      </c>
      <c r="D137" s="11">
        <f>IF(F136+SUM(E$100:E136)=D$93,F136,D$93-SUM(E$100:E136))</f>
        <v>0</v>
      </c>
      <c r="E137" s="377">
        <f t="shared" si="62"/>
        <v>0</v>
      </c>
      <c r="F137" s="54">
        <f t="shared" si="63"/>
        <v>0</v>
      </c>
      <c r="G137" s="54">
        <f t="shared" si="64"/>
        <v>0</v>
      </c>
      <c r="H137" s="459">
        <f t="shared" si="65"/>
        <v>0</v>
      </c>
      <c r="I137" s="407">
        <f t="shared" si="66"/>
        <v>0</v>
      </c>
      <c r="J137" s="53">
        <f t="shared" si="40"/>
        <v>0</v>
      </c>
      <c r="K137" s="53"/>
      <c r="L137" s="112"/>
      <c r="M137" s="53">
        <f t="shared" si="68"/>
        <v>0</v>
      </c>
      <c r="N137" s="112"/>
      <c r="O137" s="53">
        <f t="shared" si="69"/>
        <v>0</v>
      </c>
      <c r="P137" s="53">
        <f t="shared" si="70"/>
        <v>0</v>
      </c>
      <c r="Q137" s="1"/>
      <c r="R137" s="1"/>
      <c r="S137" s="1"/>
      <c r="T137" s="1"/>
      <c r="U137" s="1"/>
    </row>
    <row r="138" spans="2:21">
      <c r="B138" t="str">
        <f t="shared" si="34"/>
        <v/>
      </c>
      <c r="C138" s="49">
        <f>IF(D94="","-",+C137+1)</f>
        <v>2052</v>
      </c>
      <c r="D138" s="11">
        <f>IF(F137+SUM(E$100:E137)=D$93,F137,D$93-SUM(E$100:E137))</f>
        <v>0</v>
      </c>
      <c r="E138" s="377">
        <f t="shared" si="62"/>
        <v>0</v>
      </c>
      <c r="F138" s="54">
        <f t="shared" si="63"/>
        <v>0</v>
      </c>
      <c r="G138" s="54">
        <f t="shared" si="64"/>
        <v>0</v>
      </c>
      <c r="H138" s="459">
        <f t="shared" si="65"/>
        <v>0</v>
      </c>
      <c r="I138" s="407">
        <f t="shared" si="66"/>
        <v>0</v>
      </c>
      <c r="J138" s="53">
        <f t="shared" si="40"/>
        <v>0</v>
      </c>
      <c r="K138" s="53"/>
      <c r="L138" s="112"/>
      <c r="M138" s="53">
        <f t="shared" si="68"/>
        <v>0</v>
      </c>
      <c r="N138" s="112"/>
      <c r="O138" s="53">
        <f t="shared" si="69"/>
        <v>0</v>
      </c>
      <c r="P138" s="53">
        <f t="shared" si="70"/>
        <v>0</v>
      </c>
      <c r="Q138" s="1"/>
      <c r="R138" s="1"/>
      <c r="S138" s="1"/>
      <c r="T138" s="1"/>
      <c r="U138" s="1"/>
    </row>
    <row r="139" spans="2:21">
      <c r="B139" t="str">
        <f t="shared" si="34"/>
        <v/>
      </c>
      <c r="C139" s="49">
        <f>IF(D94="","-",+C138+1)</f>
        <v>2053</v>
      </c>
      <c r="D139" s="11">
        <f>IF(F138+SUM(E$100:E138)=D$93,F138,D$93-SUM(E$100:E138))</f>
        <v>0</v>
      </c>
      <c r="E139" s="377">
        <f t="shared" si="62"/>
        <v>0</v>
      </c>
      <c r="F139" s="54">
        <f t="shared" si="63"/>
        <v>0</v>
      </c>
      <c r="G139" s="54">
        <f t="shared" si="64"/>
        <v>0</v>
      </c>
      <c r="H139" s="459">
        <f t="shared" si="65"/>
        <v>0</v>
      </c>
      <c r="I139" s="407">
        <f t="shared" si="66"/>
        <v>0</v>
      </c>
      <c r="J139" s="53">
        <f t="shared" si="40"/>
        <v>0</v>
      </c>
      <c r="K139" s="53"/>
      <c r="L139" s="112"/>
      <c r="M139" s="53">
        <f t="shared" si="68"/>
        <v>0</v>
      </c>
      <c r="N139" s="112"/>
      <c r="O139" s="53">
        <f t="shared" si="69"/>
        <v>0</v>
      </c>
      <c r="P139" s="53">
        <f t="shared" si="70"/>
        <v>0</v>
      </c>
      <c r="Q139" s="1"/>
      <c r="R139" s="1"/>
      <c r="S139" s="1"/>
      <c r="T139" s="1"/>
      <c r="U139" s="1"/>
    </row>
    <row r="140" spans="2:21">
      <c r="B140" t="str">
        <f t="shared" si="34"/>
        <v/>
      </c>
      <c r="C140" s="49">
        <f>IF(D94="","-",+C139+1)</f>
        <v>2054</v>
      </c>
      <c r="D140" s="11">
        <f>IF(F139+SUM(E$100:E139)=D$93,F139,D$93-SUM(E$100:E139))</f>
        <v>0</v>
      </c>
      <c r="E140" s="377">
        <f t="shared" si="62"/>
        <v>0</v>
      </c>
      <c r="F140" s="54">
        <f t="shared" si="63"/>
        <v>0</v>
      </c>
      <c r="G140" s="54">
        <f t="shared" si="64"/>
        <v>0</v>
      </c>
      <c r="H140" s="459">
        <f t="shared" si="65"/>
        <v>0</v>
      </c>
      <c r="I140" s="407">
        <f t="shared" si="66"/>
        <v>0</v>
      </c>
      <c r="J140" s="53">
        <f t="shared" si="40"/>
        <v>0</v>
      </c>
      <c r="K140" s="53"/>
      <c r="L140" s="112"/>
      <c r="M140" s="53">
        <f t="shared" si="68"/>
        <v>0</v>
      </c>
      <c r="N140" s="112"/>
      <c r="O140" s="53">
        <f t="shared" si="69"/>
        <v>0</v>
      </c>
      <c r="P140" s="53">
        <f t="shared" si="70"/>
        <v>0</v>
      </c>
      <c r="Q140" s="1"/>
      <c r="R140" s="1"/>
      <c r="S140" s="1"/>
      <c r="T140" s="1"/>
      <c r="U140" s="1"/>
    </row>
    <row r="141" spans="2:21">
      <c r="B141" t="str">
        <f t="shared" si="34"/>
        <v/>
      </c>
      <c r="C141" s="49">
        <f>IF(D94="","-",+C140+1)</f>
        <v>2055</v>
      </c>
      <c r="D141" s="11">
        <f>IF(F140+SUM(E$100:E140)=D$93,F140,D$93-SUM(E$100:E140))</f>
        <v>0</v>
      </c>
      <c r="E141" s="377">
        <f t="shared" si="62"/>
        <v>0</v>
      </c>
      <c r="F141" s="54">
        <f t="shared" si="63"/>
        <v>0</v>
      </c>
      <c r="G141" s="54">
        <f t="shared" si="64"/>
        <v>0</v>
      </c>
      <c r="H141" s="459">
        <f t="shared" si="65"/>
        <v>0</v>
      </c>
      <c r="I141" s="407">
        <f t="shared" si="66"/>
        <v>0</v>
      </c>
      <c r="J141" s="53">
        <f t="shared" si="40"/>
        <v>0</v>
      </c>
      <c r="K141" s="53"/>
      <c r="L141" s="112"/>
      <c r="M141" s="53">
        <f t="shared" si="68"/>
        <v>0</v>
      </c>
      <c r="N141" s="112"/>
      <c r="O141" s="53">
        <f t="shared" si="69"/>
        <v>0</v>
      </c>
      <c r="P141" s="53">
        <f t="shared" si="70"/>
        <v>0</v>
      </c>
      <c r="Q141" s="1"/>
      <c r="R141" s="1"/>
      <c r="S141" s="1"/>
      <c r="T141" s="1"/>
      <c r="U141" s="1"/>
    </row>
    <row r="142" spans="2:21">
      <c r="B142" t="str">
        <f t="shared" si="34"/>
        <v/>
      </c>
      <c r="C142" s="49">
        <f>IF(D94="","-",+C141+1)</f>
        <v>2056</v>
      </c>
      <c r="D142" s="11">
        <f>IF(F141+SUM(E$100:E141)=D$93,F141,D$93-SUM(E$100:E141))</f>
        <v>0</v>
      </c>
      <c r="E142" s="377">
        <f t="shared" si="62"/>
        <v>0</v>
      </c>
      <c r="F142" s="54">
        <f t="shared" si="63"/>
        <v>0</v>
      </c>
      <c r="G142" s="54">
        <f t="shared" si="64"/>
        <v>0</v>
      </c>
      <c r="H142" s="459">
        <f t="shared" si="65"/>
        <v>0</v>
      </c>
      <c r="I142" s="407">
        <f t="shared" si="66"/>
        <v>0</v>
      </c>
      <c r="J142" s="53">
        <f t="shared" si="40"/>
        <v>0</v>
      </c>
      <c r="K142" s="53"/>
      <c r="L142" s="112"/>
      <c r="M142" s="53">
        <f t="shared" si="68"/>
        <v>0</v>
      </c>
      <c r="N142" s="112"/>
      <c r="O142" s="53">
        <f t="shared" si="69"/>
        <v>0</v>
      </c>
      <c r="P142" s="53">
        <f t="shared" si="70"/>
        <v>0</v>
      </c>
      <c r="Q142" s="1"/>
      <c r="R142" s="1"/>
      <c r="S142" s="1"/>
      <c r="T142" s="1"/>
      <c r="U142" s="1"/>
    </row>
    <row r="143" spans="2:21">
      <c r="B143" t="str">
        <f t="shared" si="34"/>
        <v/>
      </c>
      <c r="C143" s="49">
        <f>IF(D94="","-",+C142+1)</f>
        <v>2057</v>
      </c>
      <c r="D143" s="11">
        <f>IF(F142+SUM(E$100:E142)=D$93,F142,D$93-SUM(E$100:E142))</f>
        <v>0</v>
      </c>
      <c r="E143" s="377">
        <f t="shared" si="62"/>
        <v>0</v>
      </c>
      <c r="F143" s="54">
        <f t="shared" si="63"/>
        <v>0</v>
      </c>
      <c r="G143" s="54">
        <f t="shared" si="64"/>
        <v>0</v>
      </c>
      <c r="H143" s="459">
        <f t="shared" si="65"/>
        <v>0</v>
      </c>
      <c r="I143" s="407">
        <f t="shared" si="66"/>
        <v>0</v>
      </c>
      <c r="J143" s="53">
        <f t="shared" si="40"/>
        <v>0</v>
      </c>
      <c r="K143" s="53"/>
      <c r="L143" s="112"/>
      <c r="M143" s="53">
        <f t="shared" si="68"/>
        <v>0</v>
      </c>
      <c r="N143" s="112"/>
      <c r="O143" s="53">
        <f t="shared" si="69"/>
        <v>0</v>
      </c>
      <c r="P143" s="53">
        <f t="shared" si="70"/>
        <v>0</v>
      </c>
      <c r="Q143" s="1"/>
      <c r="R143" s="1"/>
      <c r="S143" s="1"/>
      <c r="T143" s="1"/>
      <c r="U143" s="1"/>
    </row>
    <row r="144" spans="2:21">
      <c r="B144" t="str">
        <f t="shared" si="34"/>
        <v/>
      </c>
      <c r="C144" s="49">
        <f>IF(D94="","-",+C143+1)</f>
        <v>2058</v>
      </c>
      <c r="D144" s="11">
        <f>IF(F143+SUM(E$100:E143)=D$93,F143,D$93-SUM(E$100:E143))</f>
        <v>0</v>
      </c>
      <c r="E144" s="377">
        <f t="shared" si="62"/>
        <v>0</v>
      </c>
      <c r="F144" s="54">
        <f t="shared" si="63"/>
        <v>0</v>
      </c>
      <c r="G144" s="54">
        <f t="shared" si="64"/>
        <v>0</v>
      </c>
      <c r="H144" s="459">
        <f t="shared" si="65"/>
        <v>0</v>
      </c>
      <c r="I144" s="407">
        <f t="shared" si="66"/>
        <v>0</v>
      </c>
      <c r="J144" s="53">
        <f t="shared" si="40"/>
        <v>0</v>
      </c>
      <c r="K144" s="53"/>
      <c r="L144" s="112"/>
      <c r="M144" s="53">
        <f t="shared" si="68"/>
        <v>0</v>
      </c>
      <c r="N144" s="112"/>
      <c r="O144" s="53">
        <f t="shared" si="69"/>
        <v>0</v>
      </c>
      <c r="P144" s="53">
        <f t="shared" si="70"/>
        <v>0</v>
      </c>
      <c r="Q144" s="1"/>
      <c r="R144" s="1"/>
      <c r="S144" s="1"/>
      <c r="T144" s="1"/>
      <c r="U144" s="1"/>
    </row>
    <row r="145" spans="2:21">
      <c r="B145" t="str">
        <f t="shared" si="34"/>
        <v/>
      </c>
      <c r="C145" s="49">
        <f>IF(D94="","-",+C144+1)</f>
        <v>2059</v>
      </c>
      <c r="D145" s="11">
        <f>IF(F144+SUM(E$100:E144)=D$93,F144,D$93-SUM(E$100:E144))</f>
        <v>0</v>
      </c>
      <c r="E145" s="377">
        <f t="shared" si="62"/>
        <v>0</v>
      </c>
      <c r="F145" s="54">
        <f t="shared" si="63"/>
        <v>0</v>
      </c>
      <c r="G145" s="54">
        <f t="shared" si="64"/>
        <v>0</v>
      </c>
      <c r="H145" s="459">
        <f t="shared" si="65"/>
        <v>0</v>
      </c>
      <c r="I145" s="407">
        <f t="shared" si="66"/>
        <v>0</v>
      </c>
      <c r="J145" s="53">
        <f t="shared" si="40"/>
        <v>0</v>
      </c>
      <c r="K145" s="53"/>
      <c r="L145" s="112"/>
      <c r="M145" s="53">
        <f t="shared" si="68"/>
        <v>0</v>
      </c>
      <c r="N145" s="112"/>
      <c r="O145" s="53">
        <f t="shared" si="69"/>
        <v>0</v>
      </c>
      <c r="P145" s="53">
        <f t="shared" si="70"/>
        <v>0</v>
      </c>
      <c r="Q145" s="1"/>
      <c r="R145" s="1"/>
      <c r="S145" s="1"/>
      <c r="T145" s="1"/>
      <c r="U145" s="1"/>
    </row>
    <row r="146" spans="2:21">
      <c r="B146" t="str">
        <f t="shared" si="34"/>
        <v/>
      </c>
      <c r="C146" s="49">
        <f>IF(D94="","-",+C145+1)</f>
        <v>2060</v>
      </c>
      <c r="D146" s="11">
        <f>IF(F145+SUM(E$100:E145)=D$93,F145,D$93-SUM(E$100:E145))</f>
        <v>0</v>
      </c>
      <c r="E146" s="377">
        <f t="shared" si="62"/>
        <v>0</v>
      </c>
      <c r="F146" s="54">
        <f t="shared" si="63"/>
        <v>0</v>
      </c>
      <c r="G146" s="54">
        <f t="shared" si="64"/>
        <v>0</v>
      </c>
      <c r="H146" s="459">
        <f t="shared" si="65"/>
        <v>0</v>
      </c>
      <c r="I146" s="407">
        <f t="shared" si="66"/>
        <v>0</v>
      </c>
      <c r="J146" s="53">
        <f t="shared" si="40"/>
        <v>0</v>
      </c>
      <c r="K146" s="53"/>
      <c r="L146" s="112"/>
      <c r="M146" s="53">
        <f t="shared" si="68"/>
        <v>0</v>
      </c>
      <c r="N146" s="112"/>
      <c r="O146" s="53">
        <f t="shared" si="69"/>
        <v>0</v>
      </c>
      <c r="P146" s="53">
        <f t="shared" si="70"/>
        <v>0</v>
      </c>
      <c r="Q146" s="1"/>
      <c r="R146" s="1"/>
      <c r="S146" s="1"/>
      <c r="T146" s="1"/>
      <c r="U146" s="1"/>
    </row>
    <row r="147" spans="2:21">
      <c r="B147" t="str">
        <f t="shared" si="34"/>
        <v/>
      </c>
      <c r="C147" s="49">
        <f>IF(D94="","-",+C146+1)</f>
        <v>2061</v>
      </c>
      <c r="D147" s="11">
        <f>IF(F146+SUM(E$100:E146)=D$93,F146,D$93-SUM(E$100:E146))</f>
        <v>0</v>
      </c>
      <c r="E147" s="377">
        <f t="shared" si="62"/>
        <v>0</v>
      </c>
      <c r="F147" s="54">
        <f t="shared" si="63"/>
        <v>0</v>
      </c>
      <c r="G147" s="54">
        <f t="shared" si="64"/>
        <v>0</v>
      </c>
      <c r="H147" s="459">
        <f t="shared" si="65"/>
        <v>0</v>
      </c>
      <c r="I147" s="407">
        <f t="shared" si="66"/>
        <v>0</v>
      </c>
      <c r="J147" s="53">
        <f t="shared" si="40"/>
        <v>0</v>
      </c>
      <c r="K147" s="53"/>
      <c r="L147" s="112"/>
      <c r="M147" s="53">
        <f t="shared" si="68"/>
        <v>0</v>
      </c>
      <c r="N147" s="112"/>
      <c r="O147" s="53">
        <f t="shared" si="69"/>
        <v>0</v>
      </c>
      <c r="P147" s="53">
        <f t="shared" si="70"/>
        <v>0</v>
      </c>
      <c r="Q147" s="1"/>
      <c r="R147" s="1"/>
      <c r="S147" s="1"/>
      <c r="T147" s="1"/>
      <c r="U147" s="1"/>
    </row>
    <row r="148" spans="2:21">
      <c r="B148" t="str">
        <f t="shared" si="34"/>
        <v/>
      </c>
      <c r="C148" s="49">
        <f>IF(D94="","-",+C147+1)</f>
        <v>2062</v>
      </c>
      <c r="D148" s="11">
        <f>IF(F147+SUM(E$100:E147)=D$93,F147,D$93-SUM(E$100:E147))</f>
        <v>0</v>
      </c>
      <c r="E148" s="377">
        <f t="shared" si="62"/>
        <v>0</v>
      </c>
      <c r="F148" s="54">
        <f t="shared" si="63"/>
        <v>0</v>
      </c>
      <c r="G148" s="54">
        <f t="shared" si="64"/>
        <v>0</v>
      </c>
      <c r="H148" s="459">
        <f t="shared" si="65"/>
        <v>0</v>
      </c>
      <c r="I148" s="407">
        <f t="shared" si="66"/>
        <v>0</v>
      </c>
      <c r="J148" s="53">
        <f t="shared" si="40"/>
        <v>0</v>
      </c>
      <c r="K148" s="53"/>
      <c r="L148" s="112"/>
      <c r="M148" s="53">
        <f t="shared" si="68"/>
        <v>0</v>
      </c>
      <c r="N148" s="112"/>
      <c r="O148" s="53">
        <f t="shared" si="69"/>
        <v>0</v>
      </c>
      <c r="P148" s="53">
        <f t="shared" si="70"/>
        <v>0</v>
      </c>
      <c r="Q148" s="1"/>
      <c r="R148" s="1"/>
      <c r="S148" s="1"/>
      <c r="T148" s="1"/>
      <c r="U148" s="1"/>
    </row>
    <row r="149" spans="2:21">
      <c r="B149" t="str">
        <f t="shared" si="34"/>
        <v/>
      </c>
      <c r="C149" s="49">
        <f>IF(D94="","-",+C148+1)</f>
        <v>2063</v>
      </c>
      <c r="D149" s="11">
        <f>IF(F148+SUM(E$100:E148)=D$93,F148,D$93-SUM(E$100:E148))</f>
        <v>0</v>
      </c>
      <c r="E149" s="377">
        <f t="shared" si="62"/>
        <v>0</v>
      </c>
      <c r="F149" s="54">
        <f t="shared" si="63"/>
        <v>0</v>
      </c>
      <c r="G149" s="54">
        <f t="shared" si="64"/>
        <v>0</v>
      </c>
      <c r="H149" s="459">
        <f t="shared" si="65"/>
        <v>0</v>
      </c>
      <c r="I149" s="407">
        <f t="shared" si="66"/>
        <v>0</v>
      </c>
      <c r="J149" s="53">
        <f t="shared" si="40"/>
        <v>0</v>
      </c>
      <c r="K149" s="53"/>
      <c r="L149" s="112"/>
      <c r="M149" s="53">
        <f t="shared" si="68"/>
        <v>0</v>
      </c>
      <c r="N149" s="112"/>
      <c r="O149" s="53">
        <f t="shared" si="69"/>
        <v>0</v>
      </c>
      <c r="P149" s="53">
        <f t="shared" si="70"/>
        <v>0</v>
      </c>
      <c r="Q149" s="1"/>
      <c r="R149" s="1"/>
      <c r="S149" s="1"/>
      <c r="T149" s="1"/>
      <c r="U149" s="1"/>
    </row>
    <row r="150" spans="2:21">
      <c r="B150" t="str">
        <f t="shared" si="34"/>
        <v/>
      </c>
      <c r="C150" s="49">
        <f>IF(D94="","-",+C149+1)</f>
        <v>2064</v>
      </c>
      <c r="D150" s="11">
        <f>IF(F149+SUM(E$100:E149)=D$93,F149,D$93-SUM(E$100:E149))</f>
        <v>0</v>
      </c>
      <c r="E150" s="377">
        <f t="shared" si="62"/>
        <v>0</v>
      </c>
      <c r="F150" s="54">
        <f t="shared" si="63"/>
        <v>0</v>
      </c>
      <c r="G150" s="54">
        <f t="shared" si="64"/>
        <v>0</v>
      </c>
      <c r="H150" s="459">
        <f t="shared" si="65"/>
        <v>0</v>
      </c>
      <c r="I150" s="407">
        <f t="shared" si="66"/>
        <v>0</v>
      </c>
      <c r="J150" s="53">
        <f t="shared" si="40"/>
        <v>0</v>
      </c>
      <c r="K150" s="53"/>
      <c r="L150" s="112"/>
      <c r="M150" s="53">
        <f t="shared" si="68"/>
        <v>0</v>
      </c>
      <c r="N150" s="112"/>
      <c r="O150" s="53">
        <f t="shared" si="69"/>
        <v>0</v>
      </c>
      <c r="P150" s="53">
        <f t="shared" si="70"/>
        <v>0</v>
      </c>
      <c r="Q150" s="1"/>
      <c r="R150" s="1"/>
      <c r="S150" s="1"/>
      <c r="T150" s="1"/>
      <c r="U150" s="1"/>
    </row>
    <row r="151" spans="2:21">
      <c r="B151" t="str">
        <f t="shared" si="34"/>
        <v/>
      </c>
      <c r="C151" s="49">
        <f>IF(D94="","-",+C150+1)</f>
        <v>2065</v>
      </c>
      <c r="D151" s="11">
        <f>IF(F150+SUM(E$100:E150)=D$93,F150,D$93-SUM(E$100:E150))</f>
        <v>0</v>
      </c>
      <c r="E151" s="377">
        <f t="shared" si="62"/>
        <v>0</v>
      </c>
      <c r="F151" s="54">
        <f t="shared" si="63"/>
        <v>0</v>
      </c>
      <c r="G151" s="54">
        <f t="shared" si="64"/>
        <v>0</v>
      </c>
      <c r="H151" s="459">
        <f t="shared" si="65"/>
        <v>0</v>
      </c>
      <c r="I151" s="407">
        <f t="shared" si="66"/>
        <v>0</v>
      </c>
      <c r="J151" s="53">
        <f t="shared" si="40"/>
        <v>0</v>
      </c>
      <c r="K151" s="53"/>
      <c r="L151" s="112"/>
      <c r="M151" s="53">
        <f t="shared" si="68"/>
        <v>0</v>
      </c>
      <c r="N151" s="112"/>
      <c r="O151" s="53">
        <f t="shared" si="69"/>
        <v>0</v>
      </c>
      <c r="P151" s="53">
        <f t="shared" si="70"/>
        <v>0</v>
      </c>
      <c r="Q151" s="1"/>
      <c r="R151" s="1"/>
      <c r="S151" s="1"/>
      <c r="T151" s="1"/>
      <c r="U151" s="1"/>
    </row>
    <row r="152" spans="2:21">
      <c r="B152" t="str">
        <f t="shared" si="34"/>
        <v/>
      </c>
      <c r="C152" s="49">
        <f>IF(D94="","-",+C151+1)</f>
        <v>2066</v>
      </c>
      <c r="D152" s="11">
        <f>IF(F151+SUM(E$100:E151)=D$93,F151,D$93-SUM(E$100:E151))</f>
        <v>0</v>
      </c>
      <c r="E152" s="377">
        <f t="shared" si="62"/>
        <v>0</v>
      </c>
      <c r="F152" s="54">
        <f t="shared" si="63"/>
        <v>0</v>
      </c>
      <c r="G152" s="54">
        <f t="shared" si="64"/>
        <v>0</v>
      </c>
      <c r="H152" s="459">
        <f t="shared" si="65"/>
        <v>0</v>
      </c>
      <c r="I152" s="407">
        <f t="shared" si="66"/>
        <v>0</v>
      </c>
      <c r="J152" s="53">
        <f t="shared" si="40"/>
        <v>0</v>
      </c>
      <c r="K152" s="53"/>
      <c r="L152" s="112"/>
      <c r="M152" s="53">
        <f t="shared" si="68"/>
        <v>0</v>
      </c>
      <c r="N152" s="112"/>
      <c r="O152" s="53">
        <f t="shared" si="69"/>
        <v>0</v>
      </c>
      <c r="P152" s="53">
        <f t="shared" si="70"/>
        <v>0</v>
      </c>
      <c r="Q152" s="1"/>
      <c r="R152" s="1"/>
      <c r="S152" s="1"/>
      <c r="T152" s="1"/>
      <c r="U152" s="1"/>
    </row>
    <row r="153" spans="2:21">
      <c r="B153" t="str">
        <f t="shared" si="34"/>
        <v/>
      </c>
      <c r="C153" s="49">
        <f>IF(D94="","-",+C152+1)</f>
        <v>2067</v>
      </c>
      <c r="D153" s="11">
        <f>IF(F152+SUM(E$100:E152)=D$93,F152,D$93-SUM(E$100:E152))</f>
        <v>0</v>
      </c>
      <c r="E153" s="377">
        <f t="shared" si="62"/>
        <v>0</v>
      </c>
      <c r="F153" s="54">
        <f t="shared" si="63"/>
        <v>0</v>
      </c>
      <c r="G153" s="54">
        <f t="shared" si="64"/>
        <v>0</v>
      </c>
      <c r="H153" s="459">
        <f t="shared" si="65"/>
        <v>0</v>
      </c>
      <c r="I153" s="407">
        <f t="shared" si="66"/>
        <v>0</v>
      </c>
      <c r="J153" s="53">
        <f t="shared" si="40"/>
        <v>0</v>
      </c>
      <c r="K153" s="53"/>
      <c r="L153" s="112"/>
      <c r="M153" s="53">
        <f t="shared" si="68"/>
        <v>0</v>
      </c>
      <c r="N153" s="112"/>
      <c r="O153" s="53">
        <f t="shared" si="69"/>
        <v>0</v>
      </c>
      <c r="P153" s="53">
        <f t="shared" si="70"/>
        <v>0</v>
      </c>
      <c r="Q153" s="1"/>
      <c r="R153" s="1"/>
      <c r="S153" s="1"/>
      <c r="T153" s="1"/>
      <c r="U153" s="1"/>
    </row>
    <row r="154" spans="2:21">
      <c r="B154" t="str">
        <f t="shared" si="34"/>
        <v/>
      </c>
      <c r="C154" s="49">
        <f>IF(D94="","-",+C153+1)</f>
        <v>2068</v>
      </c>
      <c r="D154" s="11">
        <f>IF(F153+SUM(E$100:E153)=D$93,F153,D$93-SUM(E$100:E153))</f>
        <v>0</v>
      </c>
      <c r="E154" s="377">
        <f t="shared" si="62"/>
        <v>0</v>
      </c>
      <c r="F154" s="54">
        <f t="shared" si="63"/>
        <v>0</v>
      </c>
      <c r="G154" s="54">
        <f t="shared" si="64"/>
        <v>0</v>
      </c>
      <c r="H154" s="459">
        <f t="shared" si="65"/>
        <v>0</v>
      </c>
      <c r="I154" s="407">
        <f t="shared" si="66"/>
        <v>0</v>
      </c>
      <c r="J154" s="53">
        <f t="shared" si="40"/>
        <v>0</v>
      </c>
      <c r="K154" s="53"/>
      <c r="L154" s="112"/>
      <c r="M154" s="53">
        <f t="shared" si="68"/>
        <v>0</v>
      </c>
      <c r="N154" s="112"/>
      <c r="O154" s="53">
        <f t="shared" si="69"/>
        <v>0</v>
      </c>
      <c r="P154" s="53">
        <f t="shared" si="70"/>
        <v>0</v>
      </c>
      <c r="Q154" s="1"/>
      <c r="R154" s="1"/>
      <c r="S154" s="1"/>
      <c r="T154" s="1"/>
      <c r="U154" s="1"/>
    </row>
    <row r="155" spans="2:21" ht="13.5" thickBot="1">
      <c r="B155" t="str">
        <f t="shared" si="34"/>
        <v/>
      </c>
      <c r="C155" s="58">
        <f>IF(D94="","-",+C154+1)</f>
        <v>2069</v>
      </c>
      <c r="D155" s="439">
        <f>IF(F154+SUM(E$100:E154)=D$93,F154,D$93-SUM(E$100:E154))</f>
        <v>0</v>
      </c>
      <c r="E155" s="389">
        <f t="shared" si="62"/>
        <v>0</v>
      </c>
      <c r="F155" s="59">
        <f t="shared" si="63"/>
        <v>0</v>
      </c>
      <c r="G155" s="59">
        <f t="shared" si="64"/>
        <v>0</v>
      </c>
      <c r="H155" s="459">
        <f t="shared" si="65"/>
        <v>0</v>
      </c>
      <c r="I155" s="408">
        <f t="shared" si="66"/>
        <v>0</v>
      </c>
      <c r="J155" s="63">
        <f t="shared" si="40"/>
        <v>0</v>
      </c>
      <c r="K155" s="53"/>
      <c r="L155" s="113"/>
      <c r="M155" s="63">
        <f t="shared" si="68"/>
        <v>0</v>
      </c>
      <c r="N155" s="113"/>
      <c r="O155" s="63">
        <f t="shared" si="69"/>
        <v>0</v>
      </c>
      <c r="P155" s="63">
        <f t="shared" si="70"/>
        <v>0</v>
      </c>
      <c r="Q155" s="1"/>
      <c r="R155" s="1"/>
      <c r="S155" s="1"/>
      <c r="T155" s="1"/>
      <c r="U155" s="1"/>
    </row>
    <row r="156" spans="2:21">
      <c r="C156" s="11" t="s">
        <v>75</v>
      </c>
      <c r="D156" s="242"/>
      <c r="E156" s="242">
        <f>SUM(E100:E155)</f>
        <v>10218098.369999999</v>
      </c>
      <c r="F156" s="242"/>
      <c r="G156" s="242"/>
      <c r="H156" s="242">
        <f>SUM(H100:H155)</f>
        <v>27759659.699482307</v>
      </c>
      <c r="I156" s="242">
        <f>SUM(I100:I155)</f>
        <v>27759659.699482307</v>
      </c>
      <c r="J156" s="242">
        <f>SUM(J100:J155)</f>
        <v>0</v>
      </c>
      <c r="K156" s="242"/>
      <c r="L156" s="242"/>
      <c r="M156" s="242"/>
      <c r="N156" s="242"/>
      <c r="O156" s="242"/>
      <c r="P156" s="1"/>
      <c r="Q156" s="1"/>
      <c r="R156" s="1"/>
      <c r="S156" s="1"/>
      <c r="T156" s="1"/>
      <c r="U156" s="1"/>
    </row>
    <row r="157" spans="2:21">
      <c r="C157" t="s">
        <v>90</v>
      </c>
      <c r="D157" s="2"/>
      <c r="E157" s="1"/>
      <c r="F157" s="1"/>
      <c r="G157" s="1"/>
      <c r="H157" s="1"/>
      <c r="I157" s="260"/>
      <c r="J157" s="260"/>
      <c r="K157" s="242"/>
      <c r="L157" s="260"/>
      <c r="M157" s="260"/>
      <c r="N157" s="260"/>
      <c r="O157" s="260"/>
      <c r="P157" s="1"/>
      <c r="Q157" s="1"/>
      <c r="R157" s="1"/>
      <c r="S157" s="1"/>
      <c r="T157" s="1"/>
      <c r="U157" s="1"/>
    </row>
    <row r="158" spans="2:21">
      <c r="C158" s="83"/>
      <c r="D158" s="2"/>
      <c r="E158" s="1"/>
      <c r="F158" s="1"/>
      <c r="G158" s="1"/>
      <c r="H158" s="1"/>
      <c r="I158" s="260"/>
      <c r="J158" s="260"/>
      <c r="K158" s="242"/>
      <c r="L158" s="260"/>
      <c r="M158" s="260"/>
      <c r="N158" s="260"/>
      <c r="O158" s="260"/>
      <c r="P158" s="1"/>
      <c r="Q158" s="1"/>
      <c r="R158" s="1"/>
      <c r="S158" s="1"/>
      <c r="T158" s="1"/>
      <c r="U158" s="1"/>
    </row>
    <row r="159" spans="2:21">
      <c r="C159" s="97" t="s">
        <v>130</v>
      </c>
      <c r="D159" s="2"/>
      <c r="E159" s="1"/>
      <c r="F159" s="1"/>
      <c r="G159" s="1"/>
      <c r="H159" s="1"/>
      <c r="I159" s="260"/>
      <c r="J159" s="260"/>
      <c r="K159" s="242"/>
      <c r="L159" s="260"/>
      <c r="M159" s="260"/>
      <c r="N159" s="260"/>
      <c r="O159" s="260"/>
      <c r="P159" s="1"/>
      <c r="Q159" s="1"/>
      <c r="R159" s="1"/>
      <c r="S159" s="1"/>
      <c r="T159" s="1"/>
      <c r="U159" s="1"/>
    </row>
    <row r="160" spans="2:21">
      <c r="C160" s="25" t="s">
        <v>76</v>
      </c>
      <c r="D160" s="11"/>
      <c r="E160" s="11"/>
      <c r="F160" s="11"/>
      <c r="G160" s="11"/>
      <c r="H160" s="242"/>
      <c r="I160" s="242"/>
      <c r="J160" s="64"/>
      <c r="K160" s="64"/>
      <c r="L160" s="64"/>
      <c r="M160" s="64"/>
      <c r="N160" s="64"/>
      <c r="O160" s="64"/>
      <c r="P160" s="1"/>
      <c r="Q160" s="1"/>
      <c r="R160" s="1"/>
      <c r="S160" s="1"/>
      <c r="T160" s="1"/>
      <c r="U160" s="1"/>
    </row>
    <row r="161" spans="3:21">
      <c r="C161" s="84" t="s">
        <v>77</v>
      </c>
      <c r="D161" s="11"/>
      <c r="E161" s="11"/>
      <c r="F161" s="11"/>
      <c r="G161" s="11"/>
      <c r="H161" s="242"/>
      <c r="I161" s="242"/>
      <c r="J161" s="64"/>
      <c r="K161" s="64"/>
      <c r="L161" s="64"/>
      <c r="M161" s="64"/>
      <c r="N161" s="64"/>
      <c r="O161" s="64"/>
      <c r="P161" s="1"/>
      <c r="Q161" s="1"/>
      <c r="R161" s="1"/>
      <c r="S161" s="1"/>
      <c r="T161" s="1"/>
      <c r="U161" s="1"/>
    </row>
    <row r="162" spans="3:21">
      <c r="C162" s="84"/>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41" priority="1" stopIfTrue="1" operator="equal">
      <formula>$I$10</formula>
    </cfRule>
  </conditionalFormatting>
  <conditionalFormatting sqref="C100:C155">
    <cfRule type="cellIs" dxfId="40"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0"/>
  <dimension ref="A1:U163"/>
  <sheetViews>
    <sheetView topLeftCell="A10" zoomScaleNormal="100" zoomScaleSheetLayoutView="78" workbookViewId="0">
      <selection activeCell="D10" sqref="D10"/>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8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214088.04713077931</v>
      </c>
      <c r="P5" s="1"/>
      <c r="R5" s="1"/>
      <c r="S5" s="1"/>
      <c r="T5" s="1"/>
      <c r="U5" s="1"/>
    </row>
    <row r="6" spans="1:21" ht="15.75">
      <c r="C6" s="6"/>
      <c r="D6" s="2"/>
      <c r="E6" s="1"/>
      <c r="F6" s="1"/>
      <c r="G6" s="1"/>
      <c r="H6" s="351"/>
      <c r="I6" s="351"/>
      <c r="J6" s="352"/>
      <c r="K6" s="22" t="s">
        <v>243</v>
      </c>
      <c r="L6" s="353"/>
      <c r="M6" s="1"/>
      <c r="N6" s="354">
        <f>VLOOKUP(I10,C17:I73,6)</f>
        <v>214088.04713077931</v>
      </c>
      <c r="O6" s="1"/>
      <c r="P6" s="1"/>
      <c r="R6" s="1"/>
      <c r="S6" s="1"/>
      <c r="T6" s="1"/>
      <c r="U6" s="1"/>
    </row>
    <row r="7" spans="1:21" ht="13.5" thickBot="1">
      <c r="C7" s="25" t="s">
        <v>46</v>
      </c>
      <c r="D7" s="96" t="s">
        <v>215</v>
      </c>
      <c r="E7" s="1"/>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260</v>
      </c>
      <c r="E9" s="31" t="s">
        <v>310</v>
      </c>
      <c r="F9" s="526">
        <v>30354</v>
      </c>
      <c r="G9" s="31"/>
      <c r="H9" s="31"/>
      <c r="I9" s="32"/>
      <c r="J9" s="33"/>
      <c r="P9" s="1"/>
      <c r="R9" s="1"/>
      <c r="S9" s="1"/>
      <c r="T9" s="1"/>
      <c r="U9" s="1"/>
    </row>
    <row r="10" spans="1:21">
      <c r="C10" s="34" t="s">
        <v>49</v>
      </c>
      <c r="D10" s="358">
        <v>1864625</v>
      </c>
      <c r="E10" s="1" t="s">
        <v>50</v>
      </c>
      <c r="G10" s="2"/>
      <c r="H10" s="2"/>
      <c r="I10" s="36">
        <f>+'OKT.WS.F.BPU.ATRR.Projected'!R100</f>
        <v>2025</v>
      </c>
      <c r="J10" s="33"/>
      <c r="K10" s="242" t="s">
        <v>51</v>
      </c>
      <c r="O10" s="1"/>
      <c r="P10" s="1"/>
      <c r="R10" s="1"/>
      <c r="S10" s="1"/>
      <c r="T10" s="1"/>
      <c r="U10" s="1"/>
    </row>
    <row r="11" spans="1:21">
      <c r="C11" s="34" t="s">
        <v>52</v>
      </c>
      <c r="D11" s="37">
        <v>2014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6</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62154.166666666664</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73" si="0">IF(D17=F16,"","IU")</f>
        <v>IU</v>
      </c>
      <c r="C17" s="49">
        <f>IF(D11= "","-",D11)</f>
        <v>2014</v>
      </c>
      <c r="D17" s="371">
        <v>669000</v>
      </c>
      <c r="E17" s="372">
        <v>5786.5857813386465</v>
      </c>
      <c r="F17" s="371">
        <v>663213.41421866138</v>
      </c>
      <c r="G17" s="372">
        <v>48353.352128136466</v>
      </c>
      <c r="H17" s="374">
        <v>48353.352128136466</v>
      </c>
      <c r="I17" s="51">
        <v>0</v>
      </c>
      <c r="J17" s="51"/>
      <c r="K17" s="114">
        <f t="shared" ref="K17:K22" si="1">G17</f>
        <v>48353.352128136466</v>
      </c>
      <c r="L17" s="52">
        <f t="shared" ref="L17:L22" si="2">IF(K17&lt;&gt;0,+G17-K17,0)</f>
        <v>0</v>
      </c>
      <c r="M17" s="114">
        <f t="shared" ref="M17:M22" si="3">H17</f>
        <v>48353.352128136466</v>
      </c>
      <c r="N17" s="52">
        <f>IF(M17&lt;&gt;0,+H17-M17,0)</f>
        <v>0</v>
      </c>
      <c r="O17" s="53">
        <f>+N17-L17</f>
        <v>0</v>
      </c>
      <c r="P17" s="1"/>
      <c r="R17" s="1"/>
      <c r="S17" s="1"/>
      <c r="T17" s="1"/>
      <c r="U17" s="1"/>
    </row>
    <row r="18" spans="2:21">
      <c r="B18" t="str">
        <f t="shared" si="0"/>
        <v/>
      </c>
      <c r="C18" s="49">
        <f>IF(D11="","-",+C17+1)</f>
        <v>2015</v>
      </c>
      <c r="D18" s="435">
        <v>663213.41421866138</v>
      </c>
      <c r="E18" s="434">
        <v>32256.539821806971</v>
      </c>
      <c r="F18" s="435">
        <v>630956.87439685443</v>
      </c>
      <c r="G18" s="434">
        <v>97286.386538537452</v>
      </c>
      <c r="H18" s="438">
        <v>97286.386538537452</v>
      </c>
      <c r="I18" s="51">
        <v>0</v>
      </c>
      <c r="J18" s="51"/>
      <c r="K18" s="376">
        <f t="shared" si="1"/>
        <v>97286.386538537452</v>
      </c>
      <c r="L18" s="53">
        <f t="shared" si="2"/>
        <v>0</v>
      </c>
      <c r="M18" s="376">
        <f t="shared" si="3"/>
        <v>97286.386538537452</v>
      </c>
      <c r="N18" s="53">
        <f>IF(M18&lt;&gt;0,+H18-M18,0)</f>
        <v>0</v>
      </c>
      <c r="O18" s="53">
        <f>+N18-L18</f>
        <v>0</v>
      </c>
      <c r="P18" s="1"/>
      <c r="R18" s="1"/>
      <c r="S18" s="1"/>
      <c r="T18" s="1"/>
      <c r="U18" s="1"/>
    </row>
    <row r="19" spans="2:21">
      <c r="B19" t="str">
        <f t="shared" si="0"/>
        <v>IU</v>
      </c>
      <c r="C19" s="49">
        <f>IF(D11="","-",+C18+1)</f>
        <v>2016</v>
      </c>
      <c r="D19" s="435">
        <v>1826581.8843968543</v>
      </c>
      <c r="E19" s="434">
        <v>38745.889906300305</v>
      </c>
      <c r="F19" s="435">
        <v>1787835.9944905541</v>
      </c>
      <c r="G19" s="434">
        <v>231618.29862330039</v>
      </c>
      <c r="H19" s="438">
        <v>231618.29862330039</v>
      </c>
      <c r="I19" s="51">
        <f>H19-G19</f>
        <v>0</v>
      </c>
      <c r="J19" s="51"/>
      <c r="K19" s="376">
        <f t="shared" si="1"/>
        <v>231618.29862330039</v>
      </c>
      <c r="L19" s="53">
        <f t="shared" si="2"/>
        <v>0</v>
      </c>
      <c r="M19" s="376">
        <f t="shared" si="3"/>
        <v>231618.29862330039</v>
      </c>
      <c r="N19" s="53">
        <f t="shared" ref="N19:N73" si="4">IF(M19&lt;&gt;0,+H19-M19,0)</f>
        <v>0</v>
      </c>
      <c r="O19" s="53">
        <f t="shared" ref="O19:O73" si="5">+N19-L19</f>
        <v>0</v>
      </c>
      <c r="P19" s="1"/>
      <c r="R19" s="1"/>
      <c r="S19" s="1"/>
      <c r="T19" s="1"/>
      <c r="U19" s="1"/>
    </row>
    <row r="20" spans="2:21">
      <c r="B20" t="str">
        <f t="shared" si="0"/>
        <v/>
      </c>
      <c r="C20" s="49">
        <f>IF(D11="","-",+C19+1)</f>
        <v>2017</v>
      </c>
      <c r="D20" s="435">
        <v>1787835.9944905541</v>
      </c>
      <c r="E20" s="434">
        <v>36662.21925080863</v>
      </c>
      <c r="F20" s="435">
        <v>1751173.7752397454</v>
      </c>
      <c r="G20" s="434">
        <v>231201.53737593384</v>
      </c>
      <c r="H20" s="438">
        <v>231201.53737593384</v>
      </c>
      <c r="I20" s="51">
        <f t="shared" ref="I20:I73" si="6">H20-G20</f>
        <v>0</v>
      </c>
      <c r="J20" s="51"/>
      <c r="K20" s="376">
        <f t="shared" si="1"/>
        <v>231201.53737593384</v>
      </c>
      <c r="L20" s="53">
        <f t="shared" si="2"/>
        <v>0</v>
      </c>
      <c r="M20" s="376">
        <f t="shared" si="3"/>
        <v>231201.53737593384</v>
      </c>
      <c r="N20" s="53">
        <f>IF(M20&lt;&gt;0,+H20-M20,0)</f>
        <v>0</v>
      </c>
      <c r="O20" s="53">
        <f>+N20-L20</f>
        <v>0</v>
      </c>
      <c r="P20" s="1"/>
      <c r="R20" s="1"/>
      <c r="S20" s="1"/>
      <c r="T20" s="1"/>
      <c r="U20" s="1"/>
    </row>
    <row r="21" spans="2:21">
      <c r="B21" t="str">
        <f t="shared" si="0"/>
        <v/>
      </c>
      <c r="C21" s="49">
        <f>IF(D11="","-",+C20+1)</f>
        <v>2018</v>
      </c>
      <c r="D21" s="435">
        <v>1751173.7752397454</v>
      </c>
      <c r="E21" s="434">
        <v>45729.148838219895</v>
      </c>
      <c r="F21" s="435">
        <v>1705444.6264015255</v>
      </c>
      <c r="G21" s="434">
        <v>221366.23750408986</v>
      </c>
      <c r="H21" s="438">
        <v>221366.23750408986</v>
      </c>
      <c r="I21" s="51">
        <v>0</v>
      </c>
      <c r="J21" s="51"/>
      <c r="K21" s="376">
        <f t="shared" si="1"/>
        <v>221366.23750408986</v>
      </c>
      <c r="L21" s="53">
        <f t="shared" si="2"/>
        <v>0</v>
      </c>
      <c r="M21" s="376">
        <f t="shared" si="3"/>
        <v>221366.23750408986</v>
      </c>
      <c r="N21" s="53">
        <f>IF(M21&lt;&gt;0,+H21-M21,0)</f>
        <v>0</v>
      </c>
      <c r="O21" s="53">
        <f>+N21-L21</f>
        <v>0</v>
      </c>
      <c r="P21" s="1"/>
      <c r="R21" s="1"/>
      <c r="S21" s="1"/>
      <c r="T21" s="1"/>
      <c r="U21" s="1"/>
    </row>
    <row r="22" spans="2:21">
      <c r="B22" t="str">
        <f t="shared" si="0"/>
        <v/>
      </c>
      <c r="C22" s="49">
        <f>IF(D11="","-",+C21+1)</f>
        <v>2019</v>
      </c>
      <c r="D22" s="435">
        <v>1705444.6264015255</v>
      </c>
      <c r="E22" s="434">
        <v>55302.6277388339</v>
      </c>
      <c r="F22" s="435">
        <v>1650141.9986626916</v>
      </c>
      <c r="G22" s="434">
        <v>229685.69393356299</v>
      </c>
      <c r="H22" s="438">
        <v>229685.69393356299</v>
      </c>
      <c r="I22" s="51">
        <f t="shared" si="6"/>
        <v>0</v>
      </c>
      <c r="J22" s="51"/>
      <c r="K22" s="376">
        <f t="shared" si="1"/>
        <v>229685.69393356299</v>
      </c>
      <c r="L22" s="53">
        <f t="shared" si="2"/>
        <v>0</v>
      </c>
      <c r="M22" s="376">
        <f t="shared" si="3"/>
        <v>229685.69393356299</v>
      </c>
      <c r="N22" s="53">
        <f>IF(M22&lt;&gt;0,+H22-M22,0)</f>
        <v>0</v>
      </c>
      <c r="O22" s="53">
        <f>+N22-L22</f>
        <v>0</v>
      </c>
      <c r="P22" s="1"/>
      <c r="R22" s="1"/>
      <c r="S22" s="1"/>
      <c r="T22" s="1"/>
      <c r="U22" s="1"/>
    </row>
    <row r="23" spans="2:21">
      <c r="B23" t="str">
        <f t="shared" si="0"/>
        <v>IU</v>
      </c>
      <c r="C23" s="49">
        <f>IF(D11="","-",+C22+1)</f>
        <v>2020</v>
      </c>
      <c r="D23" s="435">
        <v>1659715.4775633055</v>
      </c>
      <c r="E23" s="434">
        <v>54599.54020149546</v>
      </c>
      <c r="F23" s="435">
        <v>1605115.9373618101</v>
      </c>
      <c r="G23" s="434">
        <v>225892.94644088054</v>
      </c>
      <c r="H23" s="438">
        <v>225892.94644088054</v>
      </c>
      <c r="I23" s="51">
        <f t="shared" si="6"/>
        <v>0</v>
      </c>
      <c r="J23" s="51"/>
      <c r="K23" s="376">
        <f t="shared" ref="K23" si="7">G23</f>
        <v>225892.94644088054</v>
      </c>
      <c r="L23" s="53">
        <f t="shared" ref="L23" si="8">IF(K23&lt;&gt;0,+G23-K23,0)</f>
        <v>0</v>
      </c>
      <c r="M23" s="376">
        <f t="shared" ref="M23" si="9">H23</f>
        <v>225892.94644088054</v>
      </c>
      <c r="N23" s="53">
        <f t="shared" si="4"/>
        <v>0</v>
      </c>
      <c r="O23" s="53">
        <f t="shared" si="5"/>
        <v>0</v>
      </c>
      <c r="P23" s="1"/>
      <c r="R23" s="1"/>
      <c r="S23" s="1"/>
      <c r="T23" s="1"/>
      <c r="U23" s="1"/>
    </row>
    <row r="24" spans="2:21">
      <c r="B24" t="str">
        <f t="shared" si="0"/>
        <v>IU</v>
      </c>
      <c r="C24" s="49">
        <f>IF(D11="","-",+C23+1)</f>
        <v>2021</v>
      </c>
      <c r="D24" s="435">
        <v>1595542.4584611962</v>
      </c>
      <c r="E24" s="434">
        <v>60149.193870967742</v>
      </c>
      <c r="F24" s="435">
        <v>1535393.2645902284</v>
      </c>
      <c r="G24" s="434">
        <v>229509.43964714528</v>
      </c>
      <c r="H24" s="438">
        <v>229509.43964714528</v>
      </c>
      <c r="I24" s="51">
        <f t="shared" si="6"/>
        <v>0</v>
      </c>
      <c r="J24" s="51"/>
      <c r="K24" s="376">
        <f t="shared" ref="K24" si="10">G24</f>
        <v>229509.43964714528</v>
      </c>
      <c r="L24" s="53">
        <f t="shared" ref="L24" si="11">IF(K24&lt;&gt;0,+G24-K24,0)</f>
        <v>0</v>
      </c>
      <c r="M24" s="376">
        <f t="shared" ref="M24" si="12">H24</f>
        <v>229509.43964714528</v>
      </c>
      <c r="N24" s="53">
        <f t="shared" si="4"/>
        <v>0</v>
      </c>
      <c r="O24" s="53">
        <f t="shared" si="5"/>
        <v>0</v>
      </c>
      <c r="P24" s="1"/>
      <c r="R24" s="1"/>
      <c r="S24" s="1"/>
      <c r="T24" s="1"/>
      <c r="U24" s="1"/>
    </row>
    <row r="25" spans="2:21">
      <c r="B25" t="str">
        <f t="shared" si="0"/>
        <v/>
      </c>
      <c r="C25" s="49">
        <f>IF(D11="","-",+C24+1)</f>
        <v>2022</v>
      </c>
      <c r="D25" s="435">
        <v>1535393.2645902284</v>
      </c>
      <c r="E25" s="434">
        <v>56503.788181818185</v>
      </c>
      <c r="F25" s="435">
        <v>1478889.4764084104</v>
      </c>
      <c r="G25" s="434">
        <v>229461.48395077669</v>
      </c>
      <c r="H25" s="438">
        <v>229461.48395077669</v>
      </c>
      <c r="I25" s="51">
        <f t="shared" si="6"/>
        <v>0</v>
      </c>
      <c r="J25" s="51"/>
      <c r="K25" s="376">
        <f t="shared" ref="K25" si="13">G25</f>
        <v>229461.48395077669</v>
      </c>
      <c r="L25" s="53">
        <f t="shared" ref="L25" si="14">IF(K25&lt;&gt;0,+G25-K25,0)</f>
        <v>0</v>
      </c>
      <c r="M25" s="376">
        <f t="shared" ref="M25" si="15">H25</f>
        <v>229461.48395077669</v>
      </c>
      <c r="N25" s="53">
        <f t="shared" si="4"/>
        <v>0</v>
      </c>
      <c r="O25" s="53">
        <f t="shared" si="5"/>
        <v>0</v>
      </c>
      <c r="P25" s="1"/>
      <c r="R25" s="1"/>
      <c r="S25" s="1"/>
      <c r="T25" s="1"/>
      <c r="U25" s="1"/>
    </row>
    <row r="26" spans="2:21">
      <c r="B26" t="str">
        <f t="shared" si="0"/>
        <v>IU</v>
      </c>
      <c r="C26" s="49">
        <f>IF(D11="","-",+C25+1)</f>
        <v>2023</v>
      </c>
      <c r="D26" s="435">
        <v>1478889.4664084103</v>
      </c>
      <c r="E26" s="434">
        <v>60149.193548387098</v>
      </c>
      <c r="F26" s="435">
        <v>1418740.2728600232</v>
      </c>
      <c r="G26" s="434">
        <v>223912.8746819201</v>
      </c>
      <c r="H26" s="438">
        <v>223912.8746819201</v>
      </c>
      <c r="I26" s="51">
        <f t="shared" si="6"/>
        <v>0</v>
      </c>
      <c r="J26" s="51"/>
      <c r="K26" s="376">
        <f t="shared" ref="K26" si="16">G26</f>
        <v>223912.8746819201</v>
      </c>
      <c r="L26" s="53">
        <f t="shared" ref="L26" si="17">IF(K26&lt;&gt;0,+G26-K26,0)</f>
        <v>0</v>
      </c>
      <c r="M26" s="376">
        <f t="shared" ref="M26" si="18">H26</f>
        <v>223912.8746819201</v>
      </c>
      <c r="N26" s="53">
        <f t="shared" si="4"/>
        <v>0</v>
      </c>
      <c r="O26" s="53">
        <f t="shared" si="5"/>
        <v>0</v>
      </c>
      <c r="P26" s="1"/>
      <c r="R26" s="1"/>
      <c r="S26" s="1"/>
      <c r="T26" s="1"/>
      <c r="U26" s="1"/>
    </row>
    <row r="27" spans="2:21">
      <c r="B27" t="str">
        <f t="shared" si="0"/>
        <v/>
      </c>
      <c r="C27" s="49">
        <f>IF(D11="","-",+C26+1)</f>
        <v>2024</v>
      </c>
      <c r="D27" s="435">
        <v>1418740.2728600232</v>
      </c>
      <c r="E27" s="434">
        <v>60149.193548387098</v>
      </c>
      <c r="F27" s="435">
        <v>1358591.079311636</v>
      </c>
      <c r="G27" s="434">
        <v>218362.14192772453</v>
      </c>
      <c r="H27" s="438">
        <v>218362.14192772453</v>
      </c>
      <c r="I27" s="51">
        <f t="shared" si="6"/>
        <v>0</v>
      </c>
      <c r="J27" s="51"/>
      <c r="K27" s="376">
        <f t="shared" ref="K27" si="19">G27</f>
        <v>218362.14192772453</v>
      </c>
      <c r="L27" s="53">
        <f t="shared" ref="L27" si="20">IF(K27&lt;&gt;0,+G27-K27,0)</f>
        <v>0</v>
      </c>
      <c r="M27" s="376">
        <f t="shared" ref="M27" si="21">H27</f>
        <v>218362.14192772453</v>
      </c>
      <c r="N27" s="53">
        <f t="shared" ref="N27" si="22">IF(M27&lt;&gt;0,+H27-M27,0)</f>
        <v>0</v>
      </c>
      <c r="O27" s="53">
        <f t="shared" ref="O27" si="23">+N27-L27</f>
        <v>0</v>
      </c>
      <c r="P27" s="1"/>
      <c r="R27" s="1"/>
      <c r="S27" s="1"/>
      <c r="T27" s="1"/>
      <c r="U27" s="1"/>
    </row>
    <row r="28" spans="2:21">
      <c r="B28" t="str">
        <f t="shared" si="0"/>
        <v/>
      </c>
      <c r="C28" s="49">
        <f>IF(D11="","-",+C27+1)</f>
        <v>2025</v>
      </c>
      <c r="D28" s="435">
        <v>1358591.079311636</v>
      </c>
      <c r="E28" s="434">
        <v>62154.166666666664</v>
      </c>
      <c r="F28" s="435">
        <v>1296436.9126449693</v>
      </c>
      <c r="G28" s="434">
        <v>214088.04713077931</v>
      </c>
      <c r="H28" s="438">
        <v>214088.04713077931</v>
      </c>
      <c r="I28" s="51">
        <f t="shared" si="6"/>
        <v>0</v>
      </c>
      <c r="J28" s="51"/>
      <c r="K28" s="376">
        <f t="shared" ref="K28" si="24">G28</f>
        <v>214088.04713077931</v>
      </c>
      <c r="L28" s="53">
        <f t="shared" ref="L28" si="25">IF(K28&lt;&gt;0,+G28-K28,0)</f>
        <v>0</v>
      </c>
      <c r="M28" s="376">
        <f t="shared" ref="M28" si="26">H28</f>
        <v>214088.04713077931</v>
      </c>
      <c r="N28" s="53">
        <f t="shared" ref="N28" si="27">IF(M28&lt;&gt;0,+H28-M28,0)</f>
        <v>0</v>
      </c>
      <c r="O28" s="53">
        <f t="shared" ref="O28" si="28">+N28-L28</f>
        <v>0</v>
      </c>
      <c r="P28" s="1"/>
      <c r="R28" s="1"/>
      <c r="S28" s="1"/>
      <c r="T28" s="1"/>
      <c r="U28" s="1"/>
    </row>
    <row r="29" spans="2:21">
      <c r="B29" t="str">
        <f t="shared" si="0"/>
        <v/>
      </c>
      <c r="C29" s="49">
        <f>IF(D11="","-",+C28+1)</f>
        <v>2026</v>
      </c>
      <c r="D29" s="54">
        <f>IF(F28+SUM(E$17:E28)=D$10,F28,D$10-SUM(E$17:E28))</f>
        <v>1296436.9126449693</v>
      </c>
      <c r="E29" s="377">
        <f t="shared" ref="E29:E73" si="29">IF(+$I$14&lt;F28,$I$14,D29)</f>
        <v>62154.166666666664</v>
      </c>
      <c r="F29" s="54">
        <f t="shared" ref="F29:F73" si="30">+D29-E29</f>
        <v>1234282.7459783026</v>
      </c>
      <c r="G29" s="378">
        <f t="shared" ref="G29:G73" si="31">(D29+F29)/2*I$12+E29</f>
        <v>206974.50726808226</v>
      </c>
      <c r="H29" s="359">
        <f t="shared" ref="H29:H73" si="32">+(D29+F29)/2*I$13+E29</f>
        <v>206974.50726808226</v>
      </c>
      <c r="I29" s="51">
        <f t="shared" si="6"/>
        <v>0</v>
      </c>
      <c r="J29" s="51"/>
      <c r="K29" s="112"/>
      <c r="L29" s="53">
        <f t="shared" ref="L29:L73" si="33">IF(K29&lt;&gt;0,+G29-K29,0)</f>
        <v>0</v>
      </c>
      <c r="M29" s="112"/>
      <c r="N29" s="53">
        <f t="shared" si="4"/>
        <v>0</v>
      </c>
      <c r="O29" s="53">
        <f t="shared" si="5"/>
        <v>0</v>
      </c>
      <c r="P29" s="1"/>
      <c r="R29" s="1"/>
      <c r="S29" s="1"/>
      <c r="T29" s="1"/>
      <c r="U29" s="1"/>
    </row>
    <row r="30" spans="2:21">
      <c r="B30" t="str">
        <f t="shared" si="0"/>
        <v/>
      </c>
      <c r="C30" s="49">
        <f>IF(D11="","-",+C29+1)</f>
        <v>2027</v>
      </c>
      <c r="D30" s="54">
        <f>IF(F29+SUM(E$17:E29)=D$10,F29,D$10-SUM(E$17:E29))</f>
        <v>1234282.7459783026</v>
      </c>
      <c r="E30" s="377">
        <f t="shared" si="29"/>
        <v>62154.166666666664</v>
      </c>
      <c r="F30" s="54">
        <f t="shared" si="30"/>
        <v>1172128.5793116358</v>
      </c>
      <c r="G30" s="378">
        <f t="shared" si="31"/>
        <v>199860.96740538525</v>
      </c>
      <c r="H30" s="359">
        <f t="shared" si="32"/>
        <v>199860.96740538525</v>
      </c>
      <c r="I30" s="51">
        <f t="shared" si="6"/>
        <v>0</v>
      </c>
      <c r="J30" s="51"/>
      <c r="K30" s="112"/>
      <c r="L30" s="53">
        <f t="shared" si="33"/>
        <v>0</v>
      </c>
      <c r="M30" s="112"/>
      <c r="N30" s="53">
        <f t="shared" si="4"/>
        <v>0</v>
      </c>
      <c r="O30" s="53">
        <f t="shared" si="5"/>
        <v>0</v>
      </c>
      <c r="P30" s="1"/>
      <c r="R30" s="1"/>
      <c r="S30" s="1"/>
      <c r="T30" s="1"/>
      <c r="U30" s="1"/>
    </row>
    <row r="31" spans="2:21">
      <c r="B31" t="str">
        <f t="shared" si="0"/>
        <v/>
      </c>
      <c r="C31" s="49">
        <f>IF(D11="","-",+C30+1)</f>
        <v>2028</v>
      </c>
      <c r="D31" s="54">
        <f>IF(F30+SUM(E$17:E30)=D$10,F30,D$10-SUM(E$17:E30))</f>
        <v>1172128.5793116358</v>
      </c>
      <c r="E31" s="377">
        <f t="shared" si="29"/>
        <v>62154.166666666664</v>
      </c>
      <c r="F31" s="54">
        <f t="shared" si="30"/>
        <v>1109974.4126449691</v>
      </c>
      <c r="G31" s="378">
        <f t="shared" si="31"/>
        <v>192747.42754268821</v>
      </c>
      <c r="H31" s="359">
        <f t="shared" si="32"/>
        <v>192747.42754268821</v>
      </c>
      <c r="I31" s="51">
        <f t="shared" si="6"/>
        <v>0</v>
      </c>
      <c r="J31" s="51"/>
      <c r="K31" s="112"/>
      <c r="L31" s="53">
        <f t="shared" si="33"/>
        <v>0</v>
      </c>
      <c r="M31" s="112"/>
      <c r="N31" s="53">
        <f t="shared" si="4"/>
        <v>0</v>
      </c>
      <c r="O31" s="53">
        <f t="shared" si="5"/>
        <v>0</v>
      </c>
      <c r="P31" s="1"/>
      <c r="R31" s="1"/>
      <c r="S31" s="1"/>
      <c r="T31" s="1"/>
      <c r="U31" s="1"/>
    </row>
    <row r="32" spans="2:21">
      <c r="B32" t="str">
        <f t="shared" si="0"/>
        <v/>
      </c>
      <c r="C32" s="49">
        <f>IF(D12="","-",+C31+1)</f>
        <v>2029</v>
      </c>
      <c r="D32" s="54">
        <f>IF(F31+SUM(E$17:E31)=D$10,F31,D$10-SUM(E$17:E31))</f>
        <v>1109974.4126449691</v>
      </c>
      <c r="E32" s="377">
        <f>IF(+$I$14&lt;F31,$I$14,D32)</f>
        <v>62154.166666666664</v>
      </c>
      <c r="F32" s="54">
        <f>+D32-E32</f>
        <v>1047820.2459783024</v>
      </c>
      <c r="G32" s="378">
        <f t="shared" si="31"/>
        <v>185633.8876799912</v>
      </c>
      <c r="H32" s="359">
        <f t="shared" si="32"/>
        <v>185633.8876799912</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2030</v>
      </c>
      <c r="D33" s="54">
        <f>IF(F32+SUM(E$17:E32)=D$10,F32,D$10-SUM(E$17:E32))</f>
        <v>1047820.2459783024</v>
      </c>
      <c r="E33" s="377">
        <f>IF(+$I$14&lt;F32,$I$14,D33)</f>
        <v>62154.166666666664</v>
      </c>
      <c r="F33" s="54">
        <f>+D33-E33</f>
        <v>985666.07931163581</v>
      </c>
      <c r="G33" s="378">
        <f t="shared" si="31"/>
        <v>178520.34781729418</v>
      </c>
      <c r="H33" s="359">
        <f t="shared" si="32"/>
        <v>178520.34781729418</v>
      </c>
      <c r="I33" s="51">
        <f>H33-G33</f>
        <v>0</v>
      </c>
      <c r="J33" s="51"/>
      <c r="K33" s="112"/>
      <c r="L33" s="53">
        <f>IF(K33&lt;&gt;0,+G33-K33,0)</f>
        <v>0</v>
      </c>
      <c r="M33" s="112"/>
      <c r="N33" s="53">
        <f>IF(M33&lt;&gt;0,+H33-M33,0)</f>
        <v>0</v>
      </c>
      <c r="O33" s="53">
        <f>+N33-L33</f>
        <v>0</v>
      </c>
      <c r="P33" s="1"/>
      <c r="R33" s="1"/>
      <c r="S33" s="1"/>
      <c r="T33" s="1"/>
      <c r="U33" s="1"/>
    </row>
    <row r="34" spans="2:21">
      <c r="B34" t="str">
        <f t="shared" si="0"/>
        <v/>
      </c>
      <c r="C34" s="379">
        <f>IF(D11="","-",+C33+1)</f>
        <v>2031</v>
      </c>
      <c r="D34" s="380">
        <f>IF(F33+SUM(E$17:E33)=D$10,F33,D$10-SUM(E$17:E33))</f>
        <v>985666.07931163581</v>
      </c>
      <c r="E34" s="381">
        <f t="shared" si="29"/>
        <v>62154.166666666664</v>
      </c>
      <c r="F34" s="380">
        <f t="shared" si="30"/>
        <v>923511.91264496918</v>
      </c>
      <c r="G34" s="382">
        <f t="shared" si="31"/>
        <v>171406.80795459717</v>
      </c>
      <c r="H34" s="383">
        <f t="shared" si="32"/>
        <v>171406.80795459717</v>
      </c>
      <c r="I34" s="384">
        <f t="shared" si="6"/>
        <v>0</v>
      </c>
      <c r="J34" s="384"/>
      <c r="K34" s="385"/>
      <c r="L34" s="386">
        <f t="shared" si="33"/>
        <v>0</v>
      </c>
      <c r="M34" s="385"/>
      <c r="N34" s="386">
        <f t="shared" si="4"/>
        <v>0</v>
      </c>
      <c r="O34" s="386">
        <f t="shared" si="5"/>
        <v>0</v>
      </c>
      <c r="P34" s="387"/>
      <c r="Q34" s="187"/>
      <c r="R34" s="387"/>
      <c r="S34" s="387"/>
      <c r="T34" s="387"/>
      <c r="U34" s="1"/>
    </row>
    <row r="35" spans="2:21">
      <c r="B35" t="str">
        <f t="shared" si="0"/>
        <v/>
      </c>
      <c r="C35" s="49">
        <f>IF(D11="","-",+C34+1)</f>
        <v>2032</v>
      </c>
      <c r="D35" s="54">
        <f>IF(F34+SUM(E$17:E34)=D$10,F34,D$10-SUM(E$17:E34))</f>
        <v>923511.91264496918</v>
      </c>
      <c r="E35" s="377">
        <f t="shared" si="29"/>
        <v>62154.166666666664</v>
      </c>
      <c r="F35" s="54">
        <f t="shared" si="30"/>
        <v>861357.74597830256</v>
      </c>
      <c r="G35" s="378">
        <f t="shared" si="31"/>
        <v>164293.26809190013</v>
      </c>
      <c r="H35" s="359">
        <f t="shared" si="32"/>
        <v>164293.26809190013</v>
      </c>
      <c r="I35" s="51">
        <f t="shared" si="6"/>
        <v>0</v>
      </c>
      <c r="J35" s="51"/>
      <c r="K35" s="112"/>
      <c r="L35" s="53">
        <f t="shared" si="33"/>
        <v>0</v>
      </c>
      <c r="M35" s="112"/>
      <c r="N35" s="53">
        <f t="shared" si="4"/>
        <v>0</v>
      </c>
      <c r="O35" s="53">
        <f t="shared" si="5"/>
        <v>0</v>
      </c>
      <c r="P35" s="1"/>
      <c r="R35" s="1"/>
      <c r="S35" s="1"/>
      <c r="T35" s="1"/>
      <c r="U35" s="1"/>
    </row>
    <row r="36" spans="2:21">
      <c r="B36" t="str">
        <f t="shared" si="0"/>
        <v/>
      </c>
      <c r="C36" s="49">
        <f>IF(D11="","-",+C35+1)</f>
        <v>2033</v>
      </c>
      <c r="D36" s="54">
        <f>IF(F35+SUM(E$17:E35)=D$10,F35,D$10-SUM(E$17:E35))</f>
        <v>861357.74597830256</v>
      </c>
      <c r="E36" s="377">
        <f t="shared" si="29"/>
        <v>62154.166666666664</v>
      </c>
      <c r="F36" s="54">
        <f t="shared" si="30"/>
        <v>799203.57931163593</v>
      </c>
      <c r="G36" s="378">
        <f t="shared" si="31"/>
        <v>157179.72822920315</v>
      </c>
      <c r="H36" s="359">
        <f t="shared" si="32"/>
        <v>157179.72822920315</v>
      </c>
      <c r="I36" s="51">
        <f t="shared" si="6"/>
        <v>0</v>
      </c>
      <c r="J36" s="51"/>
      <c r="K36" s="112"/>
      <c r="L36" s="53">
        <f t="shared" si="33"/>
        <v>0</v>
      </c>
      <c r="M36" s="112"/>
      <c r="N36" s="53">
        <f t="shared" si="4"/>
        <v>0</v>
      </c>
      <c r="O36" s="53">
        <f t="shared" si="5"/>
        <v>0</v>
      </c>
      <c r="P36" s="1"/>
      <c r="R36" s="1"/>
      <c r="S36" s="1"/>
      <c r="T36" s="1"/>
      <c r="U36" s="1"/>
    </row>
    <row r="37" spans="2:21">
      <c r="B37" t="str">
        <f t="shared" si="0"/>
        <v/>
      </c>
      <c r="C37" s="49">
        <f>IF(D11="","-",+C36+1)</f>
        <v>2034</v>
      </c>
      <c r="D37" s="54">
        <f>IF(F36+SUM(E$17:E36)=D$10,F36,D$10-SUM(E$17:E36))</f>
        <v>799203.57931163593</v>
      </c>
      <c r="E37" s="377">
        <f t="shared" si="29"/>
        <v>62154.166666666664</v>
      </c>
      <c r="F37" s="54">
        <f t="shared" si="30"/>
        <v>737049.4126449693</v>
      </c>
      <c r="G37" s="378">
        <f t="shared" si="31"/>
        <v>150066.1883665061</v>
      </c>
      <c r="H37" s="359">
        <f t="shared" si="32"/>
        <v>150066.1883665061</v>
      </c>
      <c r="I37" s="51">
        <f t="shared" si="6"/>
        <v>0</v>
      </c>
      <c r="J37" s="51"/>
      <c r="K37" s="112"/>
      <c r="L37" s="53">
        <f t="shared" si="33"/>
        <v>0</v>
      </c>
      <c r="M37" s="112"/>
      <c r="N37" s="53">
        <f t="shared" si="4"/>
        <v>0</v>
      </c>
      <c r="O37" s="53">
        <f t="shared" si="5"/>
        <v>0</v>
      </c>
      <c r="P37" s="1"/>
      <c r="R37" s="1"/>
      <c r="S37" s="1"/>
      <c r="T37" s="1"/>
      <c r="U37" s="1"/>
    </row>
    <row r="38" spans="2:21">
      <c r="B38" t="str">
        <f t="shared" si="0"/>
        <v/>
      </c>
      <c r="C38" s="49">
        <f>IF(D11="","-",+C37+1)</f>
        <v>2035</v>
      </c>
      <c r="D38" s="54">
        <f>IF(F37+SUM(E$17:E37)=D$10,F37,D$10-SUM(E$17:E37))</f>
        <v>737049.4126449693</v>
      </c>
      <c r="E38" s="377">
        <f t="shared" si="29"/>
        <v>62154.166666666664</v>
      </c>
      <c r="F38" s="54">
        <f t="shared" si="30"/>
        <v>674895.24597830267</v>
      </c>
      <c r="G38" s="378">
        <f t="shared" si="31"/>
        <v>142952.64850380912</v>
      </c>
      <c r="H38" s="359">
        <f t="shared" si="32"/>
        <v>142952.64850380912</v>
      </c>
      <c r="I38" s="51">
        <f t="shared" si="6"/>
        <v>0</v>
      </c>
      <c r="J38" s="51"/>
      <c r="K38" s="112"/>
      <c r="L38" s="53">
        <f t="shared" si="33"/>
        <v>0</v>
      </c>
      <c r="M38" s="112"/>
      <c r="N38" s="53">
        <f t="shared" si="4"/>
        <v>0</v>
      </c>
      <c r="O38" s="53">
        <f t="shared" si="5"/>
        <v>0</v>
      </c>
      <c r="P38" s="1"/>
      <c r="R38" s="1"/>
      <c r="S38" s="1"/>
      <c r="T38" s="1"/>
      <c r="U38" s="1"/>
    </row>
    <row r="39" spans="2:21">
      <c r="B39" t="str">
        <f t="shared" si="0"/>
        <v/>
      </c>
      <c r="C39" s="49">
        <f>IF(D11="","-",+C38+1)</f>
        <v>2036</v>
      </c>
      <c r="D39" s="54">
        <f>IF(F38+SUM(E$17:E38)=D$10,F38,D$10-SUM(E$17:E38))</f>
        <v>674895.24597830267</v>
      </c>
      <c r="E39" s="377">
        <f t="shared" si="29"/>
        <v>62154.166666666664</v>
      </c>
      <c r="F39" s="54">
        <f t="shared" si="30"/>
        <v>612741.07931163604</v>
      </c>
      <c r="G39" s="378">
        <f t="shared" si="31"/>
        <v>135839.10864111208</v>
      </c>
      <c r="H39" s="359">
        <f t="shared" si="32"/>
        <v>135839.10864111208</v>
      </c>
      <c r="I39" s="51">
        <f t="shared" si="6"/>
        <v>0</v>
      </c>
      <c r="J39" s="51"/>
      <c r="K39" s="112"/>
      <c r="L39" s="53">
        <f t="shared" si="33"/>
        <v>0</v>
      </c>
      <c r="M39" s="112"/>
      <c r="N39" s="53">
        <f t="shared" si="4"/>
        <v>0</v>
      </c>
      <c r="O39" s="53">
        <f t="shared" si="5"/>
        <v>0</v>
      </c>
      <c r="P39" s="1"/>
      <c r="R39" s="1"/>
      <c r="S39" s="1"/>
      <c r="T39" s="1"/>
      <c r="U39" s="1"/>
    </row>
    <row r="40" spans="2:21">
      <c r="B40" t="str">
        <f t="shared" si="0"/>
        <v/>
      </c>
      <c r="C40" s="49">
        <f>IF(D11="","-",+C39+1)</f>
        <v>2037</v>
      </c>
      <c r="D40" s="54">
        <f>IF(F39+SUM(E$17:E39)=D$10,F39,D$10-SUM(E$17:E39))</f>
        <v>612741.07931163604</v>
      </c>
      <c r="E40" s="377">
        <f t="shared" si="29"/>
        <v>62154.166666666664</v>
      </c>
      <c r="F40" s="54">
        <f t="shared" si="30"/>
        <v>550586.91264496942</v>
      </c>
      <c r="G40" s="378">
        <f t="shared" si="31"/>
        <v>128725.56877841507</v>
      </c>
      <c r="H40" s="359">
        <f t="shared" si="32"/>
        <v>128725.56877841507</v>
      </c>
      <c r="I40" s="51">
        <f t="shared" si="6"/>
        <v>0</v>
      </c>
      <c r="J40" s="51"/>
      <c r="K40" s="112"/>
      <c r="L40" s="53">
        <f t="shared" si="33"/>
        <v>0</v>
      </c>
      <c r="M40" s="112"/>
      <c r="N40" s="53">
        <f t="shared" si="4"/>
        <v>0</v>
      </c>
      <c r="O40" s="53">
        <f t="shared" si="5"/>
        <v>0</v>
      </c>
      <c r="P40" s="1"/>
      <c r="R40" s="1"/>
      <c r="S40" s="1"/>
      <c r="T40" s="1"/>
      <c r="U40" s="1"/>
    </row>
    <row r="41" spans="2:21">
      <c r="B41" t="str">
        <f t="shared" si="0"/>
        <v/>
      </c>
      <c r="C41" s="49">
        <f>IF(D12="","-",+C40+1)</f>
        <v>2038</v>
      </c>
      <c r="D41" s="54">
        <f>IF(F40+SUM(E$17:E40)=D$10,F40,D$10-SUM(E$17:E40))</f>
        <v>550586.91264496942</v>
      </c>
      <c r="E41" s="377">
        <f t="shared" si="29"/>
        <v>62154.166666666664</v>
      </c>
      <c r="F41" s="54">
        <f t="shared" si="30"/>
        <v>488432.74597830273</v>
      </c>
      <c r="G41" s="378">
        <f t="shared" si="31"/>
        <v>121612.02891571805</v>
      </c>
      <c r="H41" s="359">
        <f t="shared" si="32"/>
        <v>121612.02891571805</v>
      </c>
      <c r="I41" s="51">
        <f t="shared" si="6"/>
        <v>0</v>
      </c>
      <c r="J41" s="51"/>
      <c r="K41" s="112"/>
      <c r="L41" s="53">
        <f t="shared" si="33"/>
        <v>0</v>
      </c>
      <c r="M41" s="112"/>
      <c r="N41" s="53">
        <f t="shared" si="4"/>
        <v>0</v>
      </c>
      <c r="O41" s="53">
        <f t="shared" si="5"/>
        <v>0</v>
      </c>
      <c r="P41" s="1"/>
      <c r="R41" s="1"/>
      <c r="S41" s="1"/>
      <c r="T41" s="1"/>
      <c r="U41" s="1"/>
    </row>
    <row r="42" spans="2:21">
      <c r="B42" t="str">
        <f t="shared" si="0"/>
        <v/>
      </c>
      <c r="C42" s="49">
        <f>IF(D13="","-",+C41+1)</f>
        <v>2039</v>
      </c>
      <c r="D42" s="54">
        <f>IF(F41+SUM(E$17:E41)=D$10,F41,D$10-SUM(E$17:E41))</f>
        <v>488432.74597830273</v>
      </c>
      <c r="E42" s="377">
        <f t="shared" si="29"/>
        <v>62154.166666666664</v>
      </c>
      <c r="F42" s="54">
        <f t="shared" si="30"/>
        <v>426278.57931163604</v>
      </c>
      <c r="G42" s="378">
        <f t="shared" si="31"/>
        <v>114498.48905302104</v>
      </c>
      <c r="H42" s="359">
        <f t="shared" si="32"/>
        <v>114498.48905302104</v>
      </c>
      <c r="I42" s="51">
        <f t="shared" si="6"/>
        <v>0</v>
      </c>
      <c r="J42" s="51"/>
      <c r="K42" s="112"/>
      <c r="L42" s="53">
        <f t="shared" si="33"/>
        <v>0</v>
      </c>
      <c r="M42" s="112"/>
      <c r="N42" s="53">
        <f t="shared" si="4"/>
        <v>0</v>
      </c>
      <c r="O42" s="53">
        <f t="shared" si="5"/>
        <v>0</v>
      </c>
      <c r="P42" s="1"/>
      <c r="R42" s="1"/>
      <c r="S42" s="1"/>
      <c r="T42" s="1"/>
      <c r="U42" s="1"/>
    </row>
    <row r="43" spans="2:21">
      <c r="B43" t="str">
        <f t="shared" si="0"/>
        <v/>
      </c>
      <c r="C43" s="49">
        <f>IF(D14="","-",+C42+1)</f>
        <v>2040</v>
      </c>
      <c r="D43" s="54">
        <f>IF(F42+SUM(E$17:E42)=D$10,F42,D$10-SUM(E$17:E42))</f>
        <v>426278.57931163604</v>
      </c>
      <c r="E43" s="377">
        <f t="shared" si="29"/>
        <v>62154.166666666664</v>
      </c>
      <c r="F43" s="54">
        <f t="shared" si="30"/>
        <v>364124.41264496936</v>
      </c>
      <c r="G43" s="378">
        <f t="shared" si="31"/>
        <v>107384.949190324</v>
      </c>
      <c r="H43" s="359">
        <f t="shared" si="32"/>
        <v>107384.949190324</v>
      </c>
      <c r="I43" s="51">
        <f t="shared" si="6"/>
        <v>0</v>
      </c>
      <c r="J43" s="51"/>
      <c r="K43" s="112"/>
      <c r="L43" s="53">
        <f t="shared" si="33"/>
        <v>0</v>
      </c>
      <c r="M43" s="112"/>
      <c r="N43" s="53">
        <f t="shared" si="4"/>
        <v>0</v>
      </c>
      <c r="O43" s="53">
        <f t="shared" si="5"/>
        <v>0</v>
      </c>
      <c r="P43" s="1"/>
      <c r="R43" s="1"/>
      <c r="S43" s="1"/>
      <c r="T43" s="1"/>
      <c r="U43" s="1"/>
    </row>
    <row r="44" spans="2:21">
      <c r="B44" t="str">
        <f t="shared" si="0"/>
        <v/>
      </c>
      <c r="C44" s="49">
        <f>IF(D15="","-",+C43+1)</f>
        <v>2041</v>
      </c>
      <c r="D44" s="54">
        <f>IF(F43+SUM(E$17:E43)=D$10,F43,D$10-SUM(E$17:E43))</f>
        <v>364124.41264496936</v>
      </c>
      <c r="E44" s="377">
        <f t="shared" si="29"/>
        <v>62154.166666666664</v>
      </c>
      <c r="F44" s="54">
        <f t="shared" si="30"/>
        <v>301970.24597830267</v>
      </c>
      <c r="G44" s="378">
        <f t="shared" si="31"/>
        <v>100271.40932762699</v>
      </c>
      <c r="H44" s="359">
        <f t="shared" si="32"/>
        <v>100271.40932762699</v>
      </c>
      <c r="I44" s="51">
        <f t="shared" si="6"/>
        <v>0</v>
      </c>
      <c r="J44" s="51"/>
      <c r="K44" s="112"/>
      <c r="L44" s="53">
        <f t="shared" si="33"/>
        <v>0</v>
      </c>
      <c r="M44" s="112"/>
      <c r="N44" s="53">
        <f t="shared" si="4"/>
        <v>0</v>
      </c>
      <c r="O44" s="53">
        <f t="shared" si="5"/>
        <v>0</v>
      </c>
      <c r="P44" s="1"/>
      <c r="R44" s="1"/>
      <c r="S44" s="1"/>
      <c r="T44" s="1"/>
      <c r="U44" s="1"/>
    </row>
    <row r="45" spans="2:21">
      <c r="B45" t="str">
        <f t="shared" si="0"/>
        <v/>
      </c>
      <c r="C45" s="49">
        <f>IF(D11="","-",+C44+1)</f>
        <v>2042</v>
      </c>
      <c r="D45" s="54">
        <f>IF(F44+SUM(E$17:E44)=D$10,F44,D$10-SUM(E$17:E44))</f>
        <v>301970.24597830267</v>
      </c>
      <c r="E45" s="377">
        <f t="shared" si="29"/>
        <v>62154.166666666664</v>
      </c>
      <c r="F45" s="54">
        <f t="shared" si="30"/>
        <v>239816.07931163601</v>
      </c>
      <c r="G45" s="378">
        <f t="shared" si="31"/>
        <v>93157.869464929972</v>
      </c>
      <c r="H45" s="359">
        <f t="shared" si="32"/>
        <v>93157.869464929972</v>
      </c>
      <c r="I45" s="51">
        <f t="shared" si="6"/>
        <v>0</v>
      </c>
      <c r="J45" s="51"/>
      <c r="K45" s="112"/>
      <c r="L45" s="53">
        <f t="shared" si="33"/>
        <v>0</v>
      </c>
      <c r="M45" s="112"/>
      <c r="N45" s="53">
        <f t="shared" si="4"/>
        <v>0</v>
      </c>
      <c r="O45" s="53">
        <f t="shared" si="5"/>
        <v>0</v>
      </c>
      <c r="P45" s="1"/>
      <c r="R45" s="1"/>
      <c r="S45" s="1"/>
      <c r="T45" s="1"/>
      <c r="U45" s="1"/>
    </row>
    <row r="46" spans="2:21">
      <c r="B46" t="str">
        <f t="shared" si="0"/>
        <v/>
      </c>
      <c r="C46" s="49">
        <f>IF(D11="","-",+C45+1)</f>
        <v>2043</v>
      </c>
      <c r="D46" s="54">
        <f>IF(F45+SUM(E$17:E45)=D$10,F45,D$10-SUM(E$17:E45))</f>
        <v>239816.07931163601</v>
      </c>
      <c r="E46" s="377">
        <f t="shared" si="29"/>
        <v>62154.166666666664</v>
      </c>
      <c r="F46" s="54">
        <f t="shared" si="30"/>
        <v>177661.91264496936</v>
      </c>
      <c r="G46" s="378">
        <f t="shared" si="31"/>
        <v>86044.329602232945</v>
      </c>
      <c r="H46" s="359">
        <f t="shared" si="32"/>
        <v>86044.329602232945</v>
      </c>
      <c r="I46" s="51">
        <f t="shared" si="6"/>
        <v>0</v>
      </c>
      <c r="J46" s="51"/>
      <c r="K46" s="112"/>
      <c r="L46" s="53">
        <f t="shared" si="33"/>
        <v>0</v>
      </c>
      <c r="M46" s="112"/>
      <c r="N46" s="53">
        <f t="shared" si="4"/>
        <v>0</v>
      </c>
      <c r="O46" s="53">
        <f t="shared" si="5"/>
        <v>0</v>
      </c>
      <c r="P46" s="1"/>
      <c r="R46" s="1"/>
      <c r="S46" s="1"/>
      <c r="T46" s="1"/>
      <c r="U46" s="1"/>
    </row>
    <row r="47" spans="2:21">
      <c r="B47" t="str">
        <f t="shared" si="0"/>
        <v/>
      </c>
      <c r="C47" s="49">
        <f>IF(D11="","-",+C46+1)</f>
        <v>2044</v>
      </c>
      <c r="D47" s="54">
        <f>IF(F46+SUM(E$17:E46)=D$10,F46,D$10-SUM(E$17:E46))</f>
        <v>177661.91264496936</v>
      </c>
      <c r="E47" s="377">
        <f t="shared" si="29"/>
        <v>62154.166666666664</v>
      </c>
      <c r="F47" s="54">
        <f t="shared" si="30"/>
        <v>115507.7459783027</v>
      </c>
      <c r="G47" s="378">
        <f t="shared" si="31"/>
        <v>78930.789739535918</v>
      </c>
      <c r="H47" s="359">
        <f t="shared" si="32"/>
        <v>78930.789739535918</v>
      </c>
      <c r="I47" s="51">
        <f t="shared" si="6"/>
        <v>0</v>
      </c>
      <c r="J47" s="51"/>
      <c r="K47" s="112"/>
      <c r="L47" s="53">
        <f t="shared" si="33"/>
        <v>0</v>
      </c>
      <c r="M47" s="112"/>
      <c r="N47" s="53">
        <f t="shared" si="4"/>
        <v>0</v>
      </c>
      <c r="O47" s="53">
        <f t="shared" si="5"/>
        <v>0</v>
      </c>
      <c r="P47" s="1"/>
      <c r="R47" s="1"/>
      <c r="S47" s="1"/>
      <c r="T47" s="1"/>
      <c r="U47" s="1"/>
    </row>
    <row r="48" spans="2:21">
      <c r="B48" t="str">
        <f t="shared" si="0"/>
        <v/>
      </c>
      <c r="C48" s="49">
        <f>IF(D11="","-",+C47+1)</f>
        <v>2045</v>
      </c>
      <c r="D48" s="54">
        <f>IF(F47+SUM(E$17:E47)=D$10,F47,D$10-SUM(E$17:E47))</f>
        <v>115507.7459783027</v>
      </c>
      <c r="E48" s="377">
        <f t="shared" si="29"/>
        <v>62154.166666666664</v>
      </c>
      <c r="F48" s="54">
        <f t="shared" si="30"/>
        <v>53353.579311636036</v>
      </c>
      <c r="G48" s="378">
        <f t="shared" si="31"/>
        <v>71817.249876838905</v>
      </c>
      <c r="H48" s="359">
        <f t="shared" si="32"/>
        <v>71817.249876838905</v>
      </c>
      <c r="I48" s="51">
        <f t="shared" si="6"/>
        <v>0</v>
      </c>
      <c r="J48" s="51"/>
      <c r="K48" s="112"/>
      <c r="L48" s="53">
        <f t="shared" si="33"/>
        <v>0</v>
      </c>
      <c r="M48" s="112"/>
      <c r="N48" s="53">
        <f t="shared" si="4"/>
        <v>0</v>
      </c>
      <c r="O48" s="53">
        <f t="shared" si="5"/>
        <v>0</v>
      </c>
      <c r="P48" s="1"/>
      <c r="R48" s="1"/>
      <c r="S48" s="1"/>
      <c r="T48" s="1"/>
      <c r="U48" s="1"/>
    </row>
    <row r="49" spans="2:21">
      <c r="B49" t="str">
        <f t="shared" si="0"/>
        <v/>
      </c>
      <c r="C49" s="49">
        <f>IF(D11="","-",+C48+1)</f>
        <v>2046</v>
      </c>
      <c r="D49" s="54">
        <f>IF(F48+SUM(E$17:E48)=D$10,F48,D$10-SUM(E$17:E48))</f>
        <v>53353.579311636036</v>
      </c>
      <c r="E49" s="377">
        <f t="shared" si="29"/>
        <v>53353.579311636036</v>
      </c>
      <c r="F49" s="54">
        <f t="shared" si="30"/>
        <v>0</v>
      </c>
      <c r="G49" s="378">
        <f t="shared" si="31"/>
        <v>56406.7359510479</v>
      </c>
      <c r="H49" s="359">
        <f t="shared" si="32"/>
        <v>56406.7359510479</v>
      </c>
      <c r="I49" s="51">
        <f t="shared" si="6"/>
        <v>0</v>
      </c>
      <c r="J49" s="51"/>
      <c r="K49" s="112"/>
      <c r="L49" s="53">
        <f t="shared" si="33"/>
        <v>0</v>
      </c>
      <c r="M49" s="112"/>
      <c r="N49" s="53">
        <f t="shared" si="4"/>
        <v>0</v>
      </c>
      <c r="O49" s="53">
        <f t="shared" si="5"/>
        <v>0</v>
      </c>
      <c r="P49" s="1"/>
      <c r="R49" s="1"/>
      <c r="S49" s="1"/>
      <c r="T49" s="1"/>
      <c r="U49" s="1"/>
    </row>
    <row r="50" spans="2:21">
      <c r="B50" t="str">
        <f t="shared" si="0"/>
        <v/>
      </c>
      <c r="C50" s="49">
        <f>IF(D11="","-",+C49+1)</f>
        <v>2047</v>
      </c>
      <c r="D50" s="54">
        <f>IF(F49+SUM(E$17:E49)=D$10,F49,D$10-SUM(E$17:E49))</f>
        <v>0</v>
      </c>
      <c r="E50" s="377">
        <f t="shared" si="29"/>
        <v>0</v>
      </c>
      <c r="F50" s="54">
        <f t="shared" si="30"/>
        <v>0</v>
      </c>
      <c r="G50" s="378">
        <f t="shared" si="31"/>
        <v>0</v>
      </c>
      <c r="H50" s="359">
        <f t="shared" si="32"/>
        <v>0</v>
      </c>
      <c r="I50" s="51">
        <f t="shared" si="6"/>
        <v>0</v>
      </c>
      <c r="J50" s="51"/>
      <c r="K50" s="112"/>
      <c r="L50" s="53">
        <f t="shared" si="33"/>
        <v>0</v>
      </c>
      <c r="M50" s="112"/>
      <c r="N50" s="53">
        <f t="shared" si="4"/>
        <v>0</v>
      </c>
      <c r="O50" s="53">
        <f t="shared" si="5"/>
        <v>0</v>
      </c>
      <c r="P50" s="1"/>
      <c r="R50" s="1"/>
      <c r="S50" s="1"/>
      <c r="T50" s="1"/>
      <c r="U50" s="1"/>
    </row>
    <row r="51" spans="2:21">
      <c r="B51" t="str">
        <f t="shared" si="0"/>
        <v/>
      </c>
      <c r="C51" s="49">
        <f>IF(D11="","-",+C50+1)</f>
        <v>2048</v>
      </c>
      <c r="D51" s="54">
        <f>IF(F50+SUM(E$17:E50)=D$10,F50,D$10-SUM(E$17:E50))</f>
        <v>0</v>
      </c>
      <c r="E51" s="377">
        <f t="shared" si="29"/>
        <v>0</v>
      </c>
      <c r="F51" s="54">
        <f t="shared" si="30"/>
        <v>0</v>
      </c>
      <c r="G51" s="378">
        <f t="shared" si="31"/>
        <v>0</v>
      </c>
      <c r="H51" s="359">
        <f t="shared" si="32"/>
        <v>0</v>
      </c>
      <c r="I51" s="51">
        <f t="shared" si="6"/>
        <v>0</v>
      </c>
      <c r="J51" s="51"/>
      <c r="K51" s="112"/>
      <c r="L51" s="53">
        <f t="shared" si="33"/>
        <v>0</v>
      </c>
      <c r="M51" s="112"/>
      <c r="N51" s="53">
        <f t="shared" si="4"/>
        <v>0</v>
      </c>
      <c r="O51" s="53">
        <f t="shared" si="5"/>
        <v>0</v>
      </c>
      <c r="P51" s="1"/>
      <c r="R51" s="1"/>
      <c r="S51" s="1"/>
      <c r="T51" s="1"/>
      <c r="U51" s="1"/>
    </row>
    <row r="52" spans="2:21">
      <c r="B52" t="str">
        <f t="shared" si="0"/>
        <v/>
      </c>
      <c r="C52" s="49">
        <f>IF(D11="","-",+C51+1)</f>
        <v>2049</v>
      </c>
      <c r="D52" s="54">
        <f>IF(F51+SUM(E$17:E51)=D$10,F51,D$10-SUM(E$17:E51))</f>
        <v>0</v>
      </c>
      <c r="E52" s="377">
        <f t="shared" si="29"/>
        <v>0</v>
      </c>
      <c r="F52" s="54">
        <f t="shared" si="30"/>
        <v>0</v>
      </c>
      <c r="G52" s="378">
        <f t="shared" si="31"/>
        <v>0</v>
      </c>
      <c r="H52" s="359">
        <f t="shared" si="32"/>
        <v>0</v>
      </c>
      <c r="I52" s="51">
        <f t="shared" si="6"/>
        <v>0</v>
      </c>
      <c r="J52" s="51"/>
      <c r="K52" s="112"/>
      <c r="L52" s="53">
        <f t="shared" si="33"/>
        <v>0</v>
      </c>
      <c r="M52" s="112"/>
      <c r="N52" s="53">
        <f t="shared" si="4"/>
        <v>0</v>
      </c>
      <c r="O52" s="53">
        <f t="shared" si="5"/>
        <v>0</v>
      </c>
      <c r="P52" s="1"/>
      <c r="R52" s="1"/>
      <c r="S52" s="1"/>
      <c r="T52" s="1"/>
      <c r="U52" s="1"/>
    </row>
    <row r="53" spans="2:21">
      <c r="B53" t="str">
        <f t="shared" si="0"/>
        <v/>
      </c>
      <c r="C53" s="49">
        <f>IF(D11="","-",+C52+1)</f>
        <v>2050</v>
      </c>
      <c r="D53" s="54">
        <f>IF(F52+SUM(E$17:E52)=D$10,F52,D$10-SUM(E$17:E52))</f>
        <v>0</v>
      </c>
      <c r="E53" s="377">
        <f t="shared" si="29"/>
        <v>0</v>
      </c>
      <c r="F53" s="54">
        <f t="shared" si="30"/>
        <v>0</v>
      </c>
      <c r="G53" s="378">
        <f t="shared" si="31"/>
        <v>0</v>
      </c>
      <c r="H53" s="359">
        <f t="shared" si="32"/>
        <v>0</v>
      </c>
      <c r="I53" s="51">
        <f t="shared" si="6"/>
        <v>0</v>
      </c>
      <c r="J53" s="51"/>
      <c r="K53" s="112"/>
      <c r="L53" s="53">
        <f t="shared" si="33"/>
        <v>0</v>
      </c>
      <c r="M53" s="112"/>
      <c r="N53" s="53">
        <f t="shared" si="4"/>
        <v>0</v>
      </c>
      <c r="O53" s="53">
        <f t="shared" si="5"/>
        <v>0</v>
      </c>
      <c r="P53" s="1"/>
      <c r="R53" s="1"/>
      <c r="S53" s="1"/>
      <c r="T53" s="1"/>
      <c r="U53" s="1"/>
    </row>
    <row r="54" spans="2:21">
      <c r="B54" t="str">
        <f t="shared" si="0"/>
        <v/>
      </c>
      <c r="C54" s="49">
        <f>IF(D11="","-",+C53+1)</f>
        <v>2051</v>
      </c>
      <c r="D54" s="54">
        <f>IF(F53+SUM(E$17:E53)=D$10,F53,D$10-SUM(E$17:E53))</f>
        <v>0</v>
      </c>
      <c r="E54" s="377">
        <f t="shared" si="29"/>
        <v>0</v>
      </c>
      <c r="F54" s="54">
        <f t="shared" si="30"/>
        <v>0</v>
      </c>
      <c r="G54" s="378">
        <f t="shared" si="31"/>
        <v>0</v>
      </c>
      <c r="H54" s="359">
        <f t="shared" si="32"/>
        <v>0</v>
      </c>
      <c r="I54" s="51">
        <f t="shared" si="6"/>
        <v>0</v>
      </c>
      <c r="J54" s="51"/>
      <c r="K54" s="112"/>
      <c r="L54" s="53">
        <f t="shared" si="33"/>
        <v>0</v>
      </c>
      <c r="M54" s="112"/>
      <c r="N54" s="53">
        <f t="shared" si="4"/>
        <v>0</v>
      </c>
      <c r="O54" s="53">
        <f t="shared" si="5"/>
        <v>0</v>
      </c>
      <c r="P54" s="1"/>
      <c r="R54" s="1"/>
      <c r="S54" s="1"/>
      <c r="T54" s="1"/>
      <c r="U54" s="1"/>
    </row>
    <row r="55" spans="2:21">
      <c r="B55" t="str">
        <f t="shared" si="0"/>
        <v/>
      </c>
      <c r="C55" s="49">
        <f>IF(D11="","-",+C54+1)</f>
        <v>2052</v>
      </c>
      <c r="D55" s="54">
        <f>IF(F54+SUM(E$17:E54)=D$10,F54,D$10-SUM(E$17:E54))</f>
        <v>0</v>
      </c>
      <c r="E55" s="377">
        <f t="shared" si="29"/>
        <v>0</v>
      </c>
      <c r="F55" s="54">
        <f t="shared" si="30"/>
        <v>0</v>
      </c>
      <c r="G55" s="378">
        <f t="shared" si="31"/>
        <v>0</v>
      </c>
      <c r="H55" s="359">
        <f t="shared" si="32"/>
        <v>0</v>
      </c>
      <c r="I55" s="51">
        <f t="shared" si="6"/>
        <v>0</v>
      </c>
      <c r="J55" s="51"/>
      <c r="K55" s="112"/>
      <c r="L55" s="53">
        <f t="shared" si="33"/>
        <v>0</v>
      </c>
      <c r="M55" s="112"/>
      <c r="N55" s="53">
        <f t="shared" si="4"/>
        <v>0</v>
      </c>
      <c r="O55" s="53">
        <f t="shared" si="5"/>
        <v>0</v>
      </c>
      <c r="P55" s="1"/>
      <c r="R55" s="1"/>
      <c r="S55" s="1"/>
      <c r="T55" s="1"/>
      <c r="U55" s="1"/>
    </row>
    <row r="56" spans="2:21">
      <c r="B56" t="str">
        <f t="shared" si="0"/>
        <v/>
      </c>
      <c r="C56" s="49">
        <f>IF(D11="","-",+C55+1)</f>
        <v>2053</v>
      </c>
      <c r="D56" s="54">
        <f>IF(F55+SUM(E$17:E55)=D$10,F55,D$10-SUM(E$17:E55))</f>
        <v>0</v>
      </c>
      <c r="E56" s="377">
        <f t="shared" si="29"/>
        <v>0</v>
      </c>
      <c r="F56" s="54">
        <f t="shared" si="30"/>
        <v>0</v>
      </c>
      <c r="G56" s="378">
        <f t="shared" si="31"/>
        <v>0</v>
      </c>
      <c r="H56" s="359">
        <f t="shared" si="32"/>
        <v>0</v>
      </c>
      <c r="I56" s="51">
        <f t="shared" si="6"/>
        <v>0</v>
      </c>
      <c r="J56" s="51"/>
      <c r="K56" s="112"/>
      <c r="L56" s="53">
        <f t="shared" si="33"/>
        <v>0</v>
      </c>
      <c r="M56" s="112"/>
      <c r="N56" s="53">
        <f t="shared" si="4"/>
        <v>0</v>
      </c>
      <c r="O56" s="53">
        <f t="shared" si="5"/>
        <v>0</v>
      </c>
      <c r="P56" s="1"/>
      <c r="R56" s="1"/>
      <c r="S56" s="1"/>
      <c r="T56" s="1"/>
      <c r="U56" s="1"/>
    </row>
    <row r="57" spans="2:21">
      <c r="B57" t="str">
        <f t="shared" si="0"/>
        <v/>
      </c>
      <c r="C57" s="49">
        <f>IF(D11="","-",+C56+1)</f>
        <v>2054</v>
      </c>
      <c r="D57" s="54">
        <f>IF(F56+SUM(E$17:E56)=D$10,F56,D$10-SUM(E$17:E56))</f>
        <v>0</v>
      </c>
      <c r="E57" s="377">
        <f t="shared" si="29"/>
        <v>0</v>
      </c>
      <c r="F57" s="54">
        <f t="shared" si="30"/>
        <v>0</v>
      </c>
      <c r="G57" s="378">
        <f t="shared" si="31"/>
        <v>0</v>
      </c>
      <c r="H57" s="359">
        <f t="shared" si="32"/>
        <v>0</v>
      </c>
      <c r="I57" s="51">
        <f t="shared" si="6"/>
        <v>0</v>
      </c>
      <c r="J57" s="51"/>
      <c r="K57" s="112"/>
      <c r="L57" s="53">
        <f t="shared" si="33"/>
        <v>0</v>
      </c>
      <c r="M57" s="112"/>
      <c r="N57" s="53">
        <f t="shared" si="4"/>
        <v>0</v>
      </c>
      <c r="O57" s="53">
        <f t="shared" si="5"/>
        <v>0</v>
      </c>
      <c r="P57" s="1"/>
      <c r="R57" s="1"/>
      <c r="S57" s="1"/>
      <c r="T57" s="1"/>
      <c r="U57" s="1"/>
    </row>
    <row r="58" spans="2:21">
      <c r="B58" t="str">
        <f t="shared" si="0"/>
        <v/>
      </c>
      <c r="C58" s="49">
        <f>IF(D11="","-",+C57+1)</f>
        <v>2055</v>
      </c>
      <c r="D58" s="54">
        <f>IF(F57+SUM(E$17:E57)=D$10,F57,D$10-SUM(E$17:E57))</f>
        <v>0</v>
      </c>
      <c r="E58" s="377">
        <f t="shared" si="29"/>
        <v>0</v>
      </c>
      <c r="F58" s="54">
        <f t="shared" si="30"/>
        <v>0</v>
      </c>
      <c r="G58" s="378">
        <f t="shared" si="31"/>
        <v>0</v>
      </c>
      <c r="H58" s="359">
        <f t="shared" si="32"/>
        <v>0</v>
      </c>
      <c r="I58" s="51">
        <f t="shared" si="6"/>
        <v>0</v>
      </c>
      <c r="J58" s="51"/>
      <c r="K58" s="112"/>
      <c r="L58" s="53">
        <f t="shared" si="33"/>
        <v>0</v>
      </c>
      <c r="M58" s="112"/>
      <c r="N58" s="53">
        <f t="shared" si="4"/>
        <v>0</v>
      </c>
      <c r="O58" s="53">
        <f t="shared" si="5"/>
        <v>0</v>
      </c>
      <c r="P58" s="1"/>
      <c r="R58" s="1"/>
      <c r="S58" s="1"/>
      <c r="T58" s="1"/>
      <c r="U58" s="1"/>
    </row>
    <row r="59" spans="2:21">
      <c r="B59" t="str">
        <f t="shared" si="0"/>
        <v/>
      </c>
      <c r="C59" s="49">
        <f>IF(D11="","-",+C58+1)</f>
        <v>2056</v>
      </c>
      <c r="D59" s="54">
        <f>IF(F58+SUM(E$17:E58)=D$10,F58,D$10-SUM(E$17:E58))</f>
        <v>0</v>
      </c>
      <c r="E59" s="377">
        <f t="shared" si="29"/>
        <v>0</v>
      </c>
      <c r="F59" s="54">
        <f t="shared" si="30"/>
        <v>0</v>
      </c>
      <c r="G59" s="378">
        <f t="shared" si="31"/>
        <v>0</v>
      </c>
      <c r="H59" s="359">
        <f t="shared" si="32"/>
        <v>0</v>
      </c>
      <c r="I59" s="51">
        <f t="shared" si="6"/>
        <v>0</v>
      </c>
      <c r="J59" s="51"/>
      <c r="K59" s="112"/>
      <c r="L59" s="53">
        <f t="shared" si="33"/>
        <v>0</v>
      </c>
      <c r="M59" s="112"/>
      <c r="N59" s="53">
        <f t="shared" si="4"/>
        <v>0</v>
      </c>
      <c r="O59" s="53">
        <f t="shared" si="5"/>
        <v>0</v>
      </c>
      <c r="P59" s="1"/>
      <c r="R59" s="1"/>
      <c r="S59" s="1"/>
      <c r="T59" s="1"/>
      <c r="U59" s="1"/>
    </row>
    <row r="60" spans="2:21">
      <c r="B60" t="str">
        <f t="shared" si="0"/>
        <v/>
      </c>
      <c r="C60" s="49">
        <f>IF(D11="","-",+C59+1)</f>
        <v>2057</v>
      </c>
      <c r="D60" s="54">
        <f>IF(F59+SUM(E$17:E59)=D$10,F59,D$10-SUM(E$17:E59))</f>
        <v>0</v>
      </c>
      <c r="E60" s="377">
        <f t="shared" si="29"/>
        <v>0</v>
      </c>
      <c r="F60" s="54">
        <f t="shared" si="30"/>
        <v>0</v>
      </c>
      <c r="G60" s="378">
        <f t="shared" si="31"/>
        <v>0</v>
      </c>
      <c r="H60" s="359">
        <f t="shared" si="32"/>
        <v>0</v>
      </c>
      <c r="I60" s="51">
        <f t="shared" si="6"/>
        <v>0</v>
      </c>
      <c r="J60" s="51"/>
      <c r="K60" s="112"/>
      <c r="L60" s="53">
        <f t="shared" si="33"/>
        <v>0</v>
      </c>
      <c r="M60" s="112"/>
      <c r="N60" s="53">
        <f t="shared" si="4"/>
        <v>0</v>
      </c>
      <c r="O60" s="53">
        <f t="shared" si="5"/>
        <v>0</v>
      </c>
      <c r="P60" s="1"/>
      <c r="R60" s="1"/>
      <c r="S60" s="1"/>
      <c r="T60" s="1"/>
      <c r="U60" s="1"/>
    </row>
    <row r="61" spans="2:21">
      <c r="B61" t="str">
        <f t="shared" si="0"/>
        <v/>
      </c>
      <c r="C61" s="49">
        <f>IF(D11="","-",+C60+1)</f>
        <v>2058</v>
      </c>
      <c r="D61" s="54">
        <f>IF(F60+SUM(E$17:E60)=D$10,F60,D$10-SUM(E$17:E60))</f>
        <v>0</v>
      </c>
      <c r="E61" s="377">
        <f t="shared" si="29"/>
        <v>0</v>
      </c>
      <c r="F61" s="54">
        <f t="shared" si="30"/>
        <v>0</v>
      </c>
      <c r="G61" s="378">
        <f t="shared" si="31"/>
        <v>0</v>
      </c>
      <c r="H61" s="359">
        <f t="shared" si="32"/>
        <v>0</v>
      </c>
      <c r="I61" s="51">
        <f t="shared" si="6"/>
        <v>0</v>
      </c>
      <c r="J61" s="51"/>
      <c r="K61" s="112"/>
      <c r="L61" s="53">
        <f t="shared" si="33"/>
        <v>0</v>
      </c>
      <c r="M61" s="112"/>
      <c r="N61" s="53">
        <f t="shared" si="4"/>
        <v>0</v>
      </c>
      <c r="O61" s="53">
        <f t="shared" si="5"/>
        <v>0</v>
      </c>
      <c r="P61" s="1"/>
      <c r="R61" s="1"/>
      <c r="S61" s="1"/>
      <c r="T61" s="1"/>
      <c r="U61" s="1"/>
    </row>
    <row r="62" spans="2:21">
      <c r="B62" t="str">
        <f t="shared" si="0"/>
        <v/>
      </c>
      <c r="C62" s="49">
        <f>IF(D11="","-",+C61+1)</f>
        <v>2059</v>
      </c>
      <c r="D62" s="54">
        <f>IF(F61+SUM(E$17:E61)=D$10,F61,D$10-SUM(E$17:E61))</f>
        <v>0</v>
      </c>
      <c r="E62" s="377">
        <f t="shared" si="29"/>
        <v>0</v>
      </c>
      <c r="F62" s="54">
        <f t="shared" si="30"/>
        <v>0</v>
      </c>
      <c r="G62" s="378">
        <f t="shared" si="31"/>
        <v>0</v>
      </c>
      <c r="H62" s="359">
        <f t="shared" si="32"/>
        <v>0</v>
      </c>
      <c r="I62" s="51">
        <f t="shared" si="6"/>
        <v>0</v>
      </c>
      <c r="J62" s="51"/>
      <c r="K62" s="112"/>
      <c r="L62" s="53">
        <f t="shared" si="33"/>
        <v>0</v>
      </c>
      <c r="M62" s="112"/>
      <c r="N62" s="53">
        <f t="shared" si="4"/>
        <v>0</v>
      </c>
      <c r="O62" s="53">
        <f t="shared" si="5"/>
        <v>0</v>
      </c>
      <c r="P62" s="1"/>
      <c r="R62" s="1"/>
      <c r="S62" s="1"/>
      <c r="T62" s="1"/>
      <c r="U62" s="1"/>
    </row>
    <row r="63" spans="2:21">
      <c r="B63" t="str">
        <f t="shared" si="0"/>
        <v/>
      </c>
      <c r="C63" s="49">
        <f>IF(D11="","-",+C62+1)</f>
        <v>2060</v>
      </c>
      <c r="D63" s="54">
        <f>IF(F62+SUM(E$17:E62)=D$10,F62,D$10-SUM(E$17:E62))</f>
        <v>0</v>
      </c>
      <c r="E63" s="377">
        <f t="shared" si="29"/>
        <v>0</v>
      </c>
      <c r="F63" s="54">
        <f t="shared" si="30"/>
        <v>0</v>
      </c>
      <c r="G63" s="378">
        <f t="shared" si="31"/>
        <v>0</v>
      </c>
      <c r="H63" s="359">
        <f t="shared" si="32"/>
        <v>0</v>
      </c>
      <c r="I63" s="51">
        <f t="shared" si="6"/>
        <v>0</v>
      </c>
      <c r="J63" s="51"/>
      <c r="K63" s="112"/>
      <c r="L63" s="53">
        <f t="shared" si="33"/>
        <v>0</v>
      </c>
      <c r="M63" s="112"/>
      <c r="N63" s="53">
        <f t="shared" si="4"/>
        <v>0</v>
      </c>
      <c r="O63" s="53">
        <f t="shared" si="5"/>
        <v>0</v>
      </c>
      <c r="P63" s="1"/>
      <c r="R63" s="1"/>
      <c r="S63" s="1"/>
      <c r="T63" s="1"/>
      <c r="U63" s="1"/>
    </row>
    <row r="64" spans="2:21">
      <c r="B64" t="str">
        <f t="shared" si="0"/>
        <v/>
      </c>
      <c r="C64" s="49">
        <f>IF(D11="","-",+C63+1)</f>
        <v>2061</v>
      </c>
      <c r="D64" s="54">
        <f>IF(F63+SUM(E$17:E63)=D$10,F63,D$10-SUM(E$17:E63))</f>
        <v>0</v>
      </c>
      <c r="E64" s="377">
        <f t="shared" si="29"/>
        <v>0</v>
      </c>
      <c r="F64" s="54">
        <f t="shared" si="30"/>
        <v>0</v>
      </c>
      <c r="G64" s="378">
        <f t="shared" si="31"/>
        <v>0</v>
      </c>
      <c r="H64" s="359">
        <f t="shared" si="32"/>
        <v>0</v>
      </c>
      <c r="I64" s="51">
        <f t="shared" si="6"/>
        <v>0</v>
      </c>
      <c r="J64" s="51"/>
      <c r="K64" s="112"/>
      <c r="L64" s="53">
        <f t="shared" si="33"/>
        <v>0</v>
      </c>
      <c r="M64" s="112"/>
      <c r="N64" s="53">
        <f t="shared" si="4"/>
        <v>0</v>
      </c>
      <c r="O64" s="53">
        <f t="shared" si="5"/>
        <v>0</v>
      </c>
      <c r="P64" s="1"/>
      <c r="R64" s="1"/>
      <c r="S64" s="1"/>
      <c r="T64" s="1"/>
      <c r="U64" s="1"/>
    </row>
    <row r="65" spans="2:21">
      <c r="B65" t="str">
        <f t="shared" si="0"/>
        <v/>
      </c>
      <c r="C65" s="49">
        <f>IF(D11="","-",+C64+1)</f>
        <v>2062</v>
      </c>
      <c r="D65" s="54">
        <f>IF(F64+SUM(E$17:E64)=D$10,F64,D$10-SUM(E$17:E64))</f>
        <v>0</v>
      </c>
      <c r="E65" s="377">
        <f t="shared" si="29"/>
        <v>0</v>
      </c>
      <c r="F65" s="54">
        <f t="shared" si="30"/>
        <v>0</v>
      </c>
      <c r="G65" s="378">
        <f t="shared" si="31"/>
        <v>0</v>
      </c>
      <c r="H65" s="359">
        <f t="shared" si="32"/>
        <v>0</v>
      </c>
      <c r="I65" s="51">
        <f t="shared" si="6"/>
        <v>0</v>
      </c>
      <c r="J65" s="51"/>
      <c r="K65" s="112"/>
      <c r="L65" s="53">
        <f t="shared" si="33"/>
        <v>0</v>
      </c>
      <c r="M65" s="112"/>
      <c r="N65" s="53">
        <f t="shared" si="4"/>
        <v>0</v>
      </c>
      <c r="O65" s="53">
        <f t="shared" si="5"/>
        <v>0</v>
      </c>
      <c r="P65" s="1"/>
      <c r="R65" s="1"/>
      <c r="S65" s="1"/>
      <c r="T65" s="1"/>
      <c r="U65" s="1"/>
    </row>
    <row r="66" spans="2:21">
      <c r="B66" t="str">
        <f t="shared" si="0"/>
        <v/>
      </c>
      <c r="C66" s="49">
        <f>IF(D11="","-",+C65+1)</f>
        <v>2063</v>
      </c>
      <c r="D66" s="54">
        <f>IF(F65+SUM(E$17:E65)=D$10,F65,D$10-SUM(E$17:E65))</f>
        <v>0</v>
      </c>
      <c r="E66" s="377">
        <f t="shared" si="29"/>
        <v>0</v>
      </c>
      <c r="F66" s="54">
        <f t="shared" si="30"/>
        <v>0</v>
      </c>
      <c r="G66" s="378">
        <f t="shared" si="31"/>
        <v>0</v>
      </c>
      <c r="H66" s="359">
        <f t="shared" si="32"/>
        <v>0</v>
      </c>
      <c r="I66" s="51">
        <f t="shared" si="6"/>
        <v>0</v>
      </c>
      <c r="J66" s="51"/>
      <c r="K66" s="112"/>
      <c r="L66" s="53">
        <f t="shared" si="33"/>
        <v>0</v>
      </c>
      <c r="M66" s="112"/>
      <c r="N66" s="53">
        <f t="shared" si="4"/>
        <v>0</v>
      </c>
      <c r="O66" s="53">
        <f t="shared" si="5"/>
        <v>0</v>
      </c>
      <c r="P66" s="1"/>
      <c r="R66" s="1"/>
      <c r="S66" s="1"/>
      <c r="T66" s="1"/>
      <c r="U66" s="1"/>
    </row>
    <row r="67" spans="2:21">
      <c r="B67" t="str">
        <f t="shared" si="0"/>
        <v/>
      </c>
      <c r="C67" s="49">
        <f>IF(D11="","-",+C66+1)</f>
        <v>2064</v>
      </c>
      <c r="D67" s="54">
        <f>IF(F66+SUM(E$17:E66)=D$10,F66,D$10-SUM(E$17:E66))</f>
        <v>0</v>
      </c>
      <c r="E67" s="377">
        <f t="shared" si="29"/>
        <v>0</v>
      </c>
      <c r="F67" s="54">
        <f t="shared" si="30"/>
        <v>0</v>
      </c>
      <c r="G67" s="378">
        <f t="shared" si="31"/>
        <v>0</v>
      </c>
      <c r="H67" s="359">
        <f t="shared" si="32"/>
        <v>0</v>
      </c>
      <c r="I67" s="51">
        <f t="shared" si="6"/>
        <v>0</v>
      </c>
      <c r="J67" s="51"/>
      <c r="K67" s="112"/>
      <c r="L67" s="53">
        <f t="shared" si="33"/>
        <v>0</v>
      </c>
      <c r="M67" s="112"/>
      <c r="N67" s="53">
        <f t="shared" si="4"/>
        <v>0</v>
      </c>
      <c r="O67" s="53">
        <f t="shared" si="5"/>
        <v>0</v>
      </c>
      <c r="P67" s="1"/>
      <c r="R67" s="1"/>
      <c r="S67" s="1"/>
      <c r="T67" s="1"/>
      <c r="U67" s="1"/>
    </row>
    <row r="68" spans="2:21">
      <c r="B68" t="str">
        <f t="shared" si="0"/>
        <v/>
      </c>
      <c r="C68" s="49">
        <f>IF(D11="","-",+C67+1)</f>
        <v>2065</v>
      </c>
      <c r="D68" s="54">
        <f>IF(F67+SUM(E$17:E67)=D$10,F67,D$10-SUM(E$17:E67))</f>
        <v>0</v>
      </c>
      <c r="E68" s="377">
        <f t="shared" si="29"/>
        <v>0</v>
      </c>
      <c r="F68" s="54">
        <f t="shared" si="30"/>
        <v>0</v>
      </c>
      <c r="G68" s="378">
        <f t="shared" si="31"/>
        <v>0</v>
      </c>
      <c r="H68" s="359">
        <f t="shared" si="32"/>
        <v>0</v>
      </c>
      <c r="I68" s="51">
        <f t="shared" si="6"/>
        <v>0</v>
      </c>
      <c r="J68" s="51"/>
      <c r="K68" s="112"/>
      <c r="L68" s="53">
        <f t="shared" si="33"/>
        <v>0</v>
      </c>
      <c r="M68" s="112"/>
      <c r="N68" s="53">
        <f t="shared" si="4"/>
        <v>0</v>
      </c>
      <c r="O68" s="53">
        <f t="shared" si="5"/>
        <v>0</v>
      </c>
      <c r="P68" s="1"/>
      <c r="R68" s="1"/>
      <c r="S68" s="1"/>
      <c r="T68" s="1"/>
      <c r="U68" s="1"/>
    </row>
    <row r="69" spans="2:21">
      <c r="B69" t="str">
        <f t="shared" si="0"/>
        <v/>
      </c>
      <c r="C69" s="49">
        <f>IF(D11="","-",+C68+1)</f>
        <v>2066</v>
      </c>
      <c r="D69" s="54">
        <f>IF(F68+SUM(E$17:E68)=D$10,F68,D$10-SUM(E$17:E68))</f>
        <v>0</v>
      </c>
      <c r="E69" s="377">
        <f t="shared" si="29"/>
        <v>0</v>
      </c>
      <c r="F69" s="54">
        <f t="shared" si="30"/>
        <v>0</v>
      </c>
      <c r="G69" s="378">
        <f t="shared" si="31"/>
        <v>0</v>
      </c>
      <c r="H69" s="359">
        <f t="shared" si="32"/>
        <v>0</v>
      </c>
      <c r="I69" s="51">
        <f t="shared" si="6"/>
        <v>0</v>
      </c>
      <c r="J69" s="51"/>
      <c r="K69" s="112"/>
      <c r="L69" s="53">
        <f t="shared" si="33"/>
        <v>0</v>
      </c>
      <c r="M69" s="112"/>
      <c r="N69" s="53">
        <f t="shared" si="4"/>
        <v>0</v>
      </c>
      <c r="O69" s="53">
        <f t="shared" si="5"/>
        <v>0</v>
      </c>
      <c r="P69" s="1"/>
      <c r="R69" s="1"/>
      <c r="S69" s="1"/>
      <c r="T69" s="1"/>
      <c r="U69" s="1"/>
    </row>
    <row r="70" spans="2:21">
      <c r="B70" t="str">
        <f t="shared" si="0"/>
        <v/>
      </c>
      <c r="C70" s="49">
        <f>IF(D11="","-",+C69+1)</f>
        <v>2067</v>
      </c>
      <c r="D70" s="54">
        <f>IF(F69+SUM(E$17:E69)=D$10,F69,D$10-SUM(E$17:E69))</f>
        <v>0</v>
      </c>
      <c r="E70" s="377">
        <f t="shared" si="29"/>
        <v>0</v>
      </c>
      <c r="F70" s="54">
        <f t="shared" si="30"/>
        <v>0</v>
      </c>
      <c r="G70" s="378">
        <f t="shared" si="31"/>
        <v>0</v>
      </c>
      <c r="H70" s="359">
        <f t="shared" si="32"/>
        <v>0</v>
      </c>
      <c r="I70" s="51">
        <f t="shared" si="6"/>
        <v>0</v>
      </c>
      <c r="J70" s="51"/>
      <c r="K70" s="112"/>
      <c r="L70" s="53">
        <f t="shared" si="33"/>
        <v>0</v>
      </c>
      <c r="M70" s="112"/>
      <c r="N70" s="53">
        <f t="shared" si="4"/>
        <v>0</v>
      </c>
      <c r="O70" s="53">
        <f t="shared" si="5"/>
        <v>0</v>
      </c>
      <c r="P70" s="1"/>
      <c r="R70" s="1"/>
      <c r="S70" s="1"/>
      <c r="T70" s="1"/>
      <c r="U70" s="1"/>
    </row>
    <row r="71" spans="2:21">
      <c r="B71" t="str">
        <f t="shared" si="0"/>
        <v/>
      </c>
      <c r="C71" s="49">
        <f>IF(D11="","-",+C70+1)</f>
        <v>2068</v>
      </c>
      <c r="D71" s="54">
        <f>IF(F70+SUM(E$17:E70)=D$10,F70,D$10-SUM(E$17:E70))</f>
        <v>0</v>
      </c>
      <c r="E71" s="377">
        <f t="shared" si="29"/>
        <v>0</v>
      </c>
      <c r="F71" s="54">
        <f t="shared" si="30"/>
        <v>0</v>
      </c>
      <c r="G71" s="378">
        <f t="shared" si="31"/>
        <v>0</v>
      </c>
      <c r="H71" s="359">
        <f t="shared" si="32"/>
        <v>0</v>
      </c>
      <c r="I71" s="51">
        <f t="shared" si="6"/>
        <v>0</v>
      </c>
      <c r="J71" s="51"/>
      <c r="K71" s="112"/>
      <c r="L71" s="53">
        <f t="shared" si="33"/>
        <v>0</v>
      </c>
      <c r="M71" s="112"/>
      <c r="N71" s="53">
        <f t="shared" si="4"/>
        <v>0</v>
      </c>
      <c r="O71" s="53">
        <f t="shared" si="5"/>
        <v>0</v>
      </c>
      <c r="P71" s="1"/>
      <c r="R71" s="1"/>
      <c r="S71" s="1"/>
      <c r="T71" s="1"/>
      <c r="U71" s="1"/>
    </row>
    <row r="72" spans="2:21">
      <c r="B72" t="str">
        <f t="shared" si="0"/>
        <v/>
      </c>
      <c r="C72" s="49">
        <f>IF(D11="","-",+C71+1)</f>
        <v>2069</v>
      </c>
      <c r="D72" s="54">
        <f>IF(F71+SUM(E$17:E71)=D$10,F71,D$10-SUM(E$17:E71))</f>
        <v>0</v>
      </c>
      <c r="E72" s="377">
        <f t="shared" si="29"/>
        <v>0</v>
      </c>
      <c r="F72" s="54">
        <f t="shared" si="30"/>
        <v>0</v>
      </c>
      <c r="G72" s="378">
        <f t="shared" si="31"/>
        <v>0</v>
      </c>
      <c r="H72" s="359">
        <f t="shared" si="32"/>
        <v>0</v>
      </c>
      <c r="I72" s="51">
        <f t="shared" si="6"/>
        <v>0</v>
      </c>
      <c r="J72" s="51"/>
      <c r="K72" s="112"/>
      <c r="L72" s="53">
        <f t="shared" si="33"/>
        <v>0</v>
      </c>
      <c r="M72" s="112"/>
      <c r="N72" s="53">
        <f t="shared" si="4"/>
        <v>0</v>
      </c>
      <c r="O72" s="53">
        <f t="shared" si="5"/>
        <v>0</v>
      </c>
      <c r="P72" s="1"/>
      <c r="R72" s="1"/>
      <c r="S72" s="1"/>
      <c r="T72" s="1"/>
      <c r="U72" s="1"/>
    </row>
    <row r="73" spans="2:21" ht="13.5" thickBot="1">
      <c r="B73" t="str">
        <f t="shared" si="0"/>
        <v/>
      </c>
      <c r="C73" s="58">
        <f>IF(D11="","-",+C72+1)</f>
        <v>2070</v>
      </c>
      <c r="D73" s="59">
        <f>IF(F72+SUM(E$17:E72)=D$10,F72,D$10-SUM(E$17:E72))</f>
        <v>0</v>
      </c>
      <c r="E73" s="389">
        <f t="shared" si="29"/>
        <v>0</v>
      </c>
      <c r="F73" s="59">
        <f t="shared" si="30"/>
        <v>0</v>
      </c>
      <c r="G73" s="432">
        <f t="shared" si="31"/>
        <v>0</v>
      </c>
      <c r="H73" s="357">
        <f t="shared" si="32"/>
        <v>0</v>
      </c>
      <c r="I73" s="62">
        <f t="shared" si="6"/>
        <v>0</v>
      </c>
      <c r="J73" s="51"/>
      <c r="K73" s="113"/>
      <c r="L73" s="63">
        <f t="shared" si="33"/>
        <v>0</v>
      </c>
      <c r="M73" s="113"/>
      <c r="N73" s="63">
        <f t="shared" si="4"/>
        <v>0</v>
      </c>
      <c r="O73" s="63">
        <f t="shared" si="5"/>
        <v>0</v>
      </c>
      <c r="P73" s="1"/>
      <c r="R73" s="1"/>
      <c r="S73" s="1"/>
      <c r="T73" s="1"/>
      <c r="U73" s="1"/>
    </row>
    <row r="74" spans="2:21">
      <c r="C74" s="11" t="s">
        <v>75</v>
      </c>
      <c r="D74" s="242"/>
      <c r="E74" s="242">
        <f>SUM(E17:E73)</f>
        <v>1864625.0000000007</v>
      </c>
      <c r="F74" s="242"/>
      <c r="G74" s="242">
        <f>SUM(G17:G73)</f>
        <v>5245062.7472830499</v>
      </c>
      <c r="H74" s="242">
        <f>SUM(H17:H73)</f>
        <v>5245062.7472830499</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8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214088.04713077931</v>
      </c>
      <c r="N88" s="396">
        <f>IF(J93&lt;D11,0,VLOOKUP(J93,C17:O73,11))</f>
        <v>214088.04713077931</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189578.62744473692</v>
      </c>
      <c r="N89" s="399">
        <f>IF(J93&lt;D11,0,VLOOKUP(J93,C100:P155,7))</f>
        <v>189578.62744473692</v>
      </c>
      <c r="O89" s="70">
        <f>+N89-M89</f>
        <v>0</v>
      </c>
      <c r="P89" s="1"/>
      <c r="Q89" s="1"/>
      <c r="R89" s="1"/>
      <c r="S89" s="1"/>
      <c r="T89" s="1"/>
      <c r="U89" s="1"/>
    </row>
    <row r="90" spans="1:21" ht="13.5" thickBot="1">
      <c r="C90" s="25" t="s">
        <v>82</v>
      </c>
      <c r="D90" s="96" t="str">
        <f>+D7</f>
        <v>Coweta 69 kV Capacitor</v>
      </c>
      <c r="E90" s="1"/>
      <c r="F90" s="1"/>
      <c r="G90" s="1"/>
      <c r="H90" s="1"/>
      <c r="I90" s="260"/>
      <c r="J90" s="260"/>
      <c r="K90" s="400"/>
      <c r="L90" s="109" t="s">
        <v>135</v>
      </c>
      <c r="M90" s="401">
        <f>+M89-M88</f>
        <v>-24509.419686042384</v>
      </c>
      <c r="N90" s="401">
        <f>+N89-N88</f>
        <v>-24509.419686042384</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tr">
        <f>+D9</f>
        <v>TP2009089</v>
      </c>
      <c r="E92" s="75" t="s">
        <v>310</v>
      </c>
      <c r="F92" s="527">
        <f>F9</f>
        <v>30354</v>
      </c>
      <c r="G92" s="75"/>
      <c r="H92" s="75"/>
      <c r="I92" s="75"/>
      <c r="J92" s="75"/>
      <c r="Q92" s="1"/>
      <c r="R92" s="1"/>
      <c r="S92" s="1"/>
      <c r="T92" s="1"/>
      <c r="U92" s="1"/>
    </row>
    <row r="93" spans="1:21">
      <c r="C93" s="34" t="s">
        <v>49</v>
      </c>
      <c r="D93" s="424">
        <v>1864625</v>
      </c>
      <c r="E93" s="1" t="s">
        <v>84</v>
      </c>
      <c r="H93" s="2"/>
      <c r="I93" s="2"/>
      <c r="J93" s="36">
        <f>+'OKT.WS.G.BPU.ATRR.True-up'!M16</f>
        <v>2025</v>
      </c>
      <c r="K93" s="33"/>
      <c r="L93" s="242" t="s">
        <v>85</v>
      </c>
      <c r="P93" s="1"/>
      <c r="Q93" s="1"/>
      <c r="R93" s="1"/>
      <c r="S93" s="1"/>
      <c r="T93" s="1"/>
      <c r="U93" s="1"/>
    </row>
    <row r="94" spans="1:21">
      <c r="C94" s="34" t="s">
        <v>52</v>
      </c>
      <c r="D94" s="85">
        <f>IF(D11=I10,"",D11)</f>
        <v>2014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412">
        <f>IF(D11=I10,"",D12)</f>
        <v>6</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58269.53125</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C100" s="49">
        <f>IF(D94= "","-",D94)</f>
        <v>2014</v>
      </c>
      <c r="D100" s="433">
        <v>0</v>
      </c>
      <c r="E100" s="434">
        <v>16074.353534482758</v>
      </c>
      <c r="F100" s="435">
        <v>1848550.6564655174</v>
      </c>
      <c r="G100" s="436">
        <v>924275.32823275868</v>
      </c>
      <c r="H100" s="436">
        <v>115474.09051785123</v>
      </c>
      <c r="I100" s="436">
        <v>115474.09051785123</v>
      </c>
      <c r="J100" s="53">
        <v>0</v>
      </c>
      <c r="K100" s="53"/>
      <c r="L100" s="376">
        <f t="shared" ref="L100:L105" si="34">H100</f>
        <v>115474.09051785123</v>
      </c>
      <c r="M100" s="53">
        <f t="shared" ref="M100:M105" si="35">IF(L100&lt;&gt;0,+H100-L100,0)</f>
        <v>0</v>
      </c>
      <c r="N100" s="376">
        <f t="shared" ref="N100:N105" si="36">I100</f>
        <v>115474.09051785123</v>
      </c>
      <c r="O100" s="53">
        <f>IF(N100&lt;&gt;0,+I100-N100,0)</f>
        <v>0</v>
      </c>
      <c r="P100" s="53">
        <f>+O100-M100</f>
        <v>0</v>
      </c>
      <c r="Q100" s="1"/>
      <c r="R100" s="1"/>
      <c r="S100" s="1"/>
      <c r="T100" s="1"/>
      <c r="U100" s="1"/>
    </row>
    <row r="101" spans="1:21">
      <c r="C101" s="49">
        <f>IF(D94="","-",+C100+1)</f>
        <v>2015</v>
      </c>
      <c r="D101" s="375">
        <v>1848550.6564655174</v>
      </c>
      <c r="E101" s="373">
        <v>38846.354375000003</v>
      </c>
      <c r="F101" s="375">
        <v>1809704.3020905172</v>
      </c>
      <c r="G101" s="373">
        <v>1829127.4792780173</v>
      </c>
      <c r="H101" s="374">
        <v>242482.07146648291</v>
      </c>
      <c r="I101" s="374">
        <v>242482.07146648291</v>
      </c>
      <c r="J101" s="374">
        <v>0</v>
      </c>
      <c r="K101" s="53"/>
      <c r="L101" s="376">
        <f t="shared" si="34"/>
        <v>242482.07146648291</v>
      </c>
      <c r="M101" s="53">
        <f t="shared" si="35"/>
        <v>0</v>
      </c>
      <c r="N101" s="376">
        <f t="shared" si="36"/>
        <v>242482.07146648291</v>
      </c>
      <c r="O101" s="53">
        <f t="shared" ref="O101:O131" si="37">IF(N101&lt;&gt;0,+I101-N101,0)</f>
        <v>0</v>
      </c>
      <c r="P101" s="53">
        <f t="shared" ref="P101:P131" si="38">+O101-M101</f>
        <v>0</v>
      </c>
      <c r="Q101" s="1"/>
      <c r="R101" s="1"/>
      <c r="S101" s="1"/>
      <c r="T101" s="1"/>
      <c r="U101" s="1"/>
    </row>
    <row r="102" spans="1:21">
      <c r="C102" s="49">
        <f>IF(D94="","-",+C101+1)</f>
        <v>2016</v>
      </c>
      <c r="D102" s="375">
        <v>1809704.3020905172</v>
      </c>
      <c r="E102" s="373">
        <v>36561.274705882352</v>
      </c>
      <c r="F102" s="375">
        <v>1773143.0273846348</v>
      </c>
      <c r="G102" s="373">
        <v>1791423.6647375762</v>
      </c>
      <c r="H102" s="374">
        <v>230696.88883644732</v>
      </c>
      <c r="I102" s="374">
        <v>230696.88883644732</v>
      </c>
      <c r="J102" s="53">
        <f t="shared" ref="J102:J155" si="39">+I102-H102</f>
        <v>0</v>
      </c>
      <c r="K102" s="53"/>
      <c r="L102" s="376">
        <f t="shared" si="34"/>
        <v>230696.88883644732</v>
      </c>
      <c r="M102" s="53">
        <f t="shared" si="35"/>
        <v>0</v>
      </c>
      <c r="N102" s="376">
        <f t="shared" si="36"/>
        <v>230696.88883644732</v>
      </c>
      <c r="O102" s="53">
        <f>IF(N102&lt;&gt;0,+I102-N102,0)</f>
        <v>0</v>
      </c>
      <c r="P102" s="53">
        <f>+O102-M102</f>
        <v>0</v>
      </c>
      <c r="Q102" s="1"/>
      <c r="R102" s="1"/>
      <c r="S102" s="1"/>
      <c r="T102" s="1"/>
      <c r="U102" s="1"/>
    </row>
    <row r="103" spans="1:21">
      <c r="C103" s="49">
        <f>IF(D94="","-",+C102+1)</f>
        <v>2017</v>
      </c>
      <c r="D103" s="375">
        <v>1773143.0273846348</v>
      </c>
      <c r="E103" s="373">
        <v>46615.625249999997</v>
      </c>
      <c r="F103" s="375">
        <v>1726527.4021346348</v>
      </c>
      <c r="G103" s="373">
        <v>1749835.2147596348</v>
      </c>
      <c r="H103" s="374">
        <v>251934.05240160052</v>
      </c>
      <c r="I103" s="374">
        <v>251934.05240160052</v>
      </c>
      <c r="J103" s="53">
        <v>0</v>
      </c>
      <c r="K103" s="53"/>
      <c r="L103" s="376">
        <f t="shared" si="34"/>
        <v>251934.05240160052</v>
      </c>
      <c r="M103" s="53">
        <f t="shared" si="35"/>
        <v>0</v>
      </c>
      <c r="N103" s="376">
        <f t="shared" si="36"/>
        <v>251934.05240160052</v>
      </c>
      <c r="O103" s="53">
        <f>IF(N103&lt;&gt;0,+I103-N103,0)</f>
        <v>0</v>
      </c>
      <c r="P103" s="53">
        <f>+O103-M103</f>
        <v>0</v>
      </c>
      <c r="Q103" s="1"/>
      <c r="R103" s="1"/>
      <c r="S103" s="1"/>
      <c r="T103" s="1"/>
      <c r="U103" s="1"/>
    </row>
    <row r="104" spans="1:21">
      <c r="C104" s="49">
        <f>IF(D94="","-",+C103+1)</f>
        <v>2018</v>
      </c>
      <c r="D104" s="375">
        <v>1726527.4021346348</v>
      </c>
      <c r="E104" s="373">
        <v>51795.139166666668</v>
      </c>
      <c r="F104" s="375">
        <v>1674732.2629679681</v>
      </c>
      <c r="G104" s="373">
        <v>1700629.8325513015</v>
      </c>
      <c r="H104" s="374">
        <v>231317.7893017451</v>
      </c>
      <c r="I104" s="374">
        <v>231317.7893017451</v>
      </c>
      <c r="J104" s="53">
        <f t="shared" si="39"/>
        <v>0</v>
      </c>
      <c r="K104" s="53"/>
      <c r="L104" s="376">
        <f t="shared" si="34"/>
        <v>231317.7893017451</v>
      </c>
      <c r="M104" s="53">
        <f t="shared" si="35"/>
        <v>0</v>
      </c>
      <c r="N104" s="376">
        <f t="shared" si="36"/>
        <v>231317.7893017451</v>
      </c>
      <c r="O104" s="53">
        <f>IF(N104&lt;&gt;0,+I104-N104,0)</f>
        <v>0</v>
      </c>
      <c r="P104" s="53">
        <f>+O104-M104</f>
        <v>0</v>
      </c>
      <c r="Q104" s="1"/>
      <c r="R104" s="1"/>
      <c r="S104" s="1"/>
      <c r="T104" s="1"/>
      <c r="U104" s="1"/>
    </row>
    <row r="105" spans="1:21">
      <c r="C105" s="49">
        <f>IF(D94="","-",+C104+1)</f>
        <v>2019</v>
      </c>
      <c r="D105" s="375">
        <v>1674732.2629679681</v>
      </c>
      <c r="E105" s="373">
        <v>51795.139166666668</v>
      </c>
      <c r="F105" s="375">
        <v>1622937.1238013015</v>
      </c>
      <c r="G105" s="373">
        <v>1648834.6933846348</v>
      </c>
      <c r="H105" s="374">
        <v>225850.16755988394</v>
      </c>
      <c r="I105" s="374">
        <v>225850.16755988394</v>
      </c>
      <c r="J105" s="53">
        <f t="shared" si="39"/>
        <v>0</v>
      </c>
      <c r="K105" s="53"/>
      <c r="L105" s="376">
        <f t="shared" si="34"/>
        <v>225850.16755988394</v>
      </c>
      <c r="M105" s="53">
        <f t="shared" si="35"/>
        <v>0</v>
      </c>
      <c r="N105" s="376">
        <f t="shared" si="36"/>
        <v>225850.16755988394</v>
      </c>
      <c r="O105" s="53">
        <f>IF(N105&lt;&gt;0,+I105-N105,0)</f>
        <v>0</v>
      </c>
      <c r="P105" s="53">
        <f t="shared" si="38"/>
        <v>0</v>
      </c>
      <c r="Q105" s="1"/>
      <c r="R105" s="1"/>
      <c r="S105" s="1"/>
      <c r="T105" s="1"/>
      <c r="U105" s="1"/>
    </row>
    <row r="106" spans="1:21">
      <c r="C106" s="49">
        <f>IF(D94="","-",+C105+1)</f>
        <v>2020</v>
      </c>
      <c r="D106" s="375">
        <v>1622937.1238013015</v>
      </c>
      <c r="E106" s="373">
        <v>66593.750357142853</v>
      </c>
      <c r="F106" s="375">
        <v>1556343.3734441586</v>
      </c>
      <c r="G106" s="373">
        <v>1589640.2486227299</v>
      </c>
      <c r="H106" s="374">
        <v>235752.93131710603</v>
      </c>
      <c r="I106" s="374">
        <v>235752.93131710603</v>
      </c>
      <c r="J106" s="53">
        <f t="shared" si="39"/>
        <v>0</v>
      </c>
      <c r="K106" s="53"/>
      <c r="L106" s="376">
        <f t="shared" ref="L106" si="40">H106</f>
        <v>235752.93131710603</v>
      </c>
      <c r="M106" s="53">
        <f t="shared" ref="M106" si="41">IF(L106&lt;&gt;0,+H106-L106,0)</f>
        <v>0</v>
      </c>
      <c r="N106" s="376">
        <f t="shared" ref="N106" si="42">I106</f>
        <v>235752.93131710603</v>
      </c>
      <c r="O106" s="53">
        <f t="shared" si="37"/>
        <v>0</v>
      </c>
      <c r="P106" s="53">
        <f t="shared" si="38"/>
        <v>0</v>
      </c>
      <c r="Q106" s="1"/>
      <c r="R106" s="1"/>
      <c r="S106" s="1"/>
      <c r="T106" s="1"/>
      <c r="U106" s="1"/>
    </row>
    <row r="107" spans="1:21">
      <c r="C107" s="49">
        <f>IF(D94="","-",+C106+1)</f>
        <v>2021</v>
      </c>
      <c r="D107" s="375">
        <v>1556343.3734441586</v>
      </c>
      <c r="E107" s="373">
        <v>74585.000400000004</v>
      </c>
      <c r="F107" s="375">
        <v>1481758.3730441586</v>
      </c>
      <c r="G107" s="373">
        <v>1519050.8732441585</v>
      </c>
      <c r="H107" s="374">
        <v>253775.29946447536</v>
      </c>
      <c r="I107" s="374">
        <v>253775.29946447536</v>
      </c>
      <c r="J107" s="53">
        <f t="shared" si="39"/>
        <v>0</v>
      </c>
      <c r="K107" s="53"/>
      <c r="L107" s="376">
        <f t="shared" ref="L107" si="43">H107</f>
        <v>253775.29946447536</v>
      </c>
      <c r="M107" s="53">
        <f t="shared" ref="M107" si="44">IF(L107&lt;&gt;0,+H107-L107,0)</f>
        <v>0</v>
      </c>
      <c r="N107" s="376">
        <f t="shared" ref="N107" si="45">I107</f>
        <v>253775.29946447536</v>
      </c>
      <c r="O107" s="53">
        <f t="shared" si="37"/>
        <v>0</v>
      </c>
      <c r="P107" s="53">
        <f t="shared" si="38"/>
        <v>0</v>
      </c>
      <c r="Q107" s="1"/>
      <c r="R107" s="1"/>
      <c r="S107" s="1"/>
      <c r="T107" s="1"/>
      <c r="U107" s="1"/>
    </row>
    <row r="108" spans="1:21">
      <c r="C108" s="49">
        <f>IF(D94="","-",+C107+1)</f>
        <v>2022</v>
      </c>
      <c r="D108" s="375">
        <v>1481758.3730441586</v>
      </c>
      <c r="E108" s="373">
        <v>88791.667142857143</v>
      </c>
      <c r="F108" s="375">
        <v>1392966.7059013015</v>
      </c>
      <c r="G108" s="373">
        <v>1437362.5394727299</v>
      </c>
      <c r="H108" s="374">
        <v>254039.51184910274</v>
      </c>
      <c r="I108" s="374">
        <v>254039.51184910274</v>
      </c>
      <c r="J108" s="53">
        <f t="shared" si="39"/>
        <v>0</v>
      </c>
      <c r="K108" s="53"/>
      <c r="L108" s="376">
        <f t="shared" ref="L108" si="46">H108</f>
        <v>254039.51184910274</v>
      </c>
      <c r="M108" s="53">
        <f t="shared" ref="M108" si="47">IF(L108&lt;&gt;0,+H108-L108,0)</f>
        <v>0</v>
      </c>
      <c r="N108" s="376">
        <f t="shared" ref="N108" si="48">I108</f>
        <v>254039.51184910274</v>
      </c>
      <c r="O108" s="53">
        <f t="shared" ref="O108" si="49">IF(N108&lt;&gt;0,+I108-N108,0)</f>
        <v>0</v>
      </c>
      <c r="P108" s="53">
        <f t="shared" ref="P108" si="50">+O108-M108</f>
        <v>0</v>
      </c>
      <c r="Q108" s="1"/>
      <c r="R108" s="1"/>
      <c r="S108" s="1"/>
      <c r="T108" s="1"/>
      <c r="U108" s="1"/>
    </row>
    <row r="109" spans="1:21">
      <c r="C109" s="49">
        <f>IF(D94="","-",+C108+1)</f>
        <v>2023</v>
      </c>
      <c r="D109" s="375">
        <v>1392966.6959013015</v>
      </c>
      <c r="E109" s="373">
        <v>98138.15789473684</v>
      </c>
      <c r="F109" s="375">
        <v>1294828.5380065646</v>
      </c>
      <c r="G109" s="373">
        <v>1343897.6169539331</v>
      </c>
      <c r="H109" s="374">
        <v>245475.24451500125</v>
      </c>
      <c r="I109" s="374">
        <v>245475.24451500125</v>
      </c>
      <c r="J109" s="53">
        <f t="shared" si="39"/>
        <v>0</v>
      </c>
      <c r="K109" s="53"/>
      <c r="L109" s="376">
        <f t="shared" ref="L109" si="51">H109</f>
        <v>245475.24451500125</v>
      </c>
      <c r="M109" s="53">
        <f t="shared" ref="M109" si="52">IF(L109&lt;&gt;0,+H109-L109,0)</f>
        <v>0</v>
      </c>
      <c r="N109" s="376">
        <f t="shared" ref="N109" si="53">I109</f>
        <v>245475.24451500125</v>
      </c>
      <c r="O109" s="53">
        <f t="shared" ref="O109" si="54">IF(N109&lt;&gt;0,+I109-N109,0)</f>
        <v>0</v>
      </c>
      <c r="P109" s="53">
        <f t="shared" ref="P109" si="55">+O109-M109</f>
        <v>0</v>
      </c>
      <c r="Q109" s="1"/>
      <c r="R109" s="1"/>
      <c r="S109" s="1"/>
      <c r="T109" s="1"/>
      <c r="U109" s="1"/>
    </row>
    <row r="110" spans="1:21">
      <c r="C110" s="49">
        <f>IF(D94="","-",+C109+1)</f>
        <v>2024</v>
      </c>
      <c r="D110" s="375">
        <v>1392966.6959013015</v>
      </c>
      <c r="E110" s="373">
        <v>98138.15789473684</v>
      </c>
      <c r="F110" s="375">
        <v>1294828.5380065646</v>
      </c>
      <c r="G110" s="373">
        <v>1343897.6169539331</v>
      </c>
      <c r="H110" s="374">
        <v>245475.24451500125</v>
      </c>
      <c r="I110" s="374">
        <v>245475.24451500125</v>
      </c>
      <c r="J110" s="53">
        <f t="shared" si="39"/>
        <v>0</v>
      </c>
      <c r="K110" s="53"/>
      <c r="L110" s="112"/>
      <c r="M110" s="53">
        <f t="shared" ref="M110:M131" si="56">IF(L110&lt;&gt;0,+H110-L110,0)</f>
        <v>0</v>
      </c>
      <c r="N110" s="112"/>
      <c r="O110" s="53">
        <f t="shared" si="37"/>
        <v>0</v>
      </c>
      <c r="P110" s="53">
        <f t="shared" si="38"/>
        <v>0</v>
      </c>
      <c r="Q110" s="1"/>
      <c r="R110" s="1"/>
      <c r="S110" s="1"/>
      <c r="T110" s="1"/>
      <c r="U110" s="1"/>
    </row>
    <row r="111" spans="1:21">
      <c r="C111" s="49">
        <f>IF(D94="","-",+C110+1)</f>
        <v>2025</v>
      </c>
      <c r="D111" s="11">
        <f>IF(F110+SUM(E$100:E110)=D$93,F110,D$93-SUM(E$100:E110))</f>
        <v>1196690.380111828</v>
      </c>
      <c r="E111" s="377">
        <f t="shared" ref="E111:E155" si="57">IF(+$J$97&lt;F110,$J$97,D111)</f>
        <v>58269.53125</v>
      </c>
      <c r="F111" s="54">
        <f t="shared" ref="F111:F155" si="58">+D111-E111</f>
        <v>1138420.848861828</v>
      </c>
      <c r="G111" s="54">
        <f t="shared" ref="G111:G155" si="59">+(F111+D111)/2</f>
        <v>1167555.614486828</v>
      </c>
      <c r="H111" s="459">
        <f t="shared" ref="H111:H155" si="60">(D111+F111)/2*J$95+E111</f>
        <v>189578.62744473692</v>
      </c>
      <c r="I111" s="407">
        <f t="shared" ref="I111:I155" si="61">+J$96*G111+E111</f>
        <v>189578.62744473692</v>
      </c>
      <c r="J111" s="53">
        <f t="shared" si="39"/>
        <v>0</v>
      </c>
      <c r="K111" s="53"/>
      <c r="L111" s="112"/>
      <c r="M111" s="53">
        <f t="shared" si="56"/>
        <v>0</v>
      </c>
      <c r="N111" s="112"/>
      <c r="O111" s="53">
        <f t="shared" si="37"/>
        <v>0</v>
      </c>
      <c r="P111" s="53">
        <f t="shared" si="38"/>
        <v>0</v>
      </c>
      <c r="Q111" s="1"/>
      <c r="R111" s="1"/>
      <c r="S111" s="1"/>
      <c r="T111" s="1"/>
      <c r="U111" s="1"/>
    </row>
    <row r="112" spans="1:21">
      <c r="C112" s="49">
        <f>IF(D94="","-",+C111+1)</f>
        <v>2026</v>
      </c>
      <c r="D112" s="11">
        <f>IF(F111+SUM(E$100:E111)=D$93,F111,D$93-SUM(E$100:E111))</f>
        <v>1138420.848861828</v>
      </c>
      <c r="E112" s="377">
        <f t="shared" si="57"/>
        <v>58269.53125</v>
      </c>
      <c r="F112" s="54">
        <f t="shared" si="58"/>
        <v>1080151.317611828</v>
      </c>
      <c r="G112" s="54">
        <f t="shared" si="59"/>
        <v>1109286.083236828</v>
      </c>
      <c r="H112" s="459">
        <f t="shared" si="60"/>
        <v>183025.34690786808</v>
      </c>
      <c r="I112" s="407">
        <f t="shared" si="61"/>
        <v>183025.34690786808</v>
      </c>
      <c r="J112" s="53">
        <f t="shared" si="39"/>
        <v>0</v>
      </c>
      <c r="K112" s="53"/>
      <c r="L112" s="112"/>
      <c r="M112" s="53">
        <f t="shared" si="56"/>
        <v>0</v>
      </c>
      <c r="N112" s="112"/>
      <c r="O112" s="53">
        <f t="shared" si="37"/>
        <v>0</v>
      </c>
      <c r="P112" s="53">
        <f t="shared" si="38"/>
        <v>0</v>
      </c>
      <c r="Q112" s="1"/>
      <c r="R112" s="1"/>
      <c r="S112" s="1"/>
      <c r="T112" s="1"/>
      <c r="U112" s="1"/>
    </row>
    <row r="113" spans="3:21">
      <c r="C113" s="49">
        <f>IF(D94="","-",+C112+1)</f>
        <v>2027</v>
      </c>
      <c r="D113" s="11">
        <f>IF(F112+SUM(E$100:E112)=D$93,F112,D$93-SUM(E$100:E112))</f>
        <v>1080151.317611828</v>
      </c>
      <c r="E113" s="377">
        <f t="shared" si="57"/>
        <v>58269.53125</v>
      </c>
      <c r="F113" s="54">
        <f t="shared" si="58"/>
        <v>1021881.786361828</v>
      </c>
      <c r="G113" s="54">
        <f t="shared" si="59"/>
        <v>1051016.551986828</v>
      </c>
      <c r="H113" s="459">
        <f t="shared" si="60"/>
        <v>176472.06637099924</v>
      </c>
      <c r="I113" s="407">
        <f t="shared" si="61"/>
        <v>176472.06637099924</v>
      </c>
      <c r="J113" s="53">
        <f t="shared" si="39"/>
        <v>0</v>
      </c>
      <c r="K113" s="53"/>
      <c r="L113" s="112"/>
      <c r="M113" s="53">
        <f t="shared" si="56"/>
        <v>0</v>
      </c>
      <c r="N113" s="112"/>
      <c r="O113" s="53">
        <f t="shared" si="37"/>
        <v>0</v>
      </c>
      <c r="P113" s="53">
        <f t="shared" si="38"/>
        <v>0</v>
      </c>
      <c r="Q113" s="1"/>
      <c r="R113" s="1"/>
      <c r="S113" s="1"/>
      <c r="T113" s="1"/>
      <c r="U113" s="1"/>
    </row>
    <row r="114" spans="3:21">
      <c r="C114" s="49">
        <f>IF(D94="","-",+C113+1)</f>
        <v>2028</v>
      </c>
      <c r="D114" s="11">
        <f>IF(F113+SUM(E$100:E113)=D$93,F113,D$93-SUM(E$100:E113))</f>
        <v>1021881.786361828</v>
      </c>
      <c r="E114" s="377">
        <f t="shared" si="57"/>
        <v>58269.53125</v>
      </c>
      <c r="F114" s="54">
        <f t="shared" si="58"/>
        <v>963612.25511182798</v>
      </c>
      <c r="G114" s="54">
        <f t="shared" si="59"/>
        <v>992747.02073682798</v>
      </c>
      <c r="H114" s="459">
        <f t="shared" si="60"/>
        <v>169918.78583413037</v>
      </c>
      <c r="I114" s="407">
        <f t="shared" si="61"/>
        <v>169918.78583413037</v>
      </c>
      <c r="J114" s="53">
        <f t="shared" si="39"/>
        <v>0</v>
      </c>
      <c r="K114" s="53"/>
      <c r="L114" s="112"/>
      <c r="M114" s="53">
        <f t="shared" si="56"/>
        <v>0</v>
      </c>
      <c r="N114" s="112"/>
      <c r="O114" s="53">
        <f t="shared" si="37"/>
        <v>0</v>
      </c>
      <c r="P114" s="53">
        <f t="shared" si="38"/>
        <v>0</v>
      </c>
      <c r="Q114" s="1"/>
      <c r="R114" s="1"/>
      <c r="S114" s="1"/>
      <c r="T114" s="1"/>
      <c r="U114" s="1"/>
    </row>
    <row r="115" spans="3:21">
      <c r="C115" s="49">
        <f>IF(D94="","-",+C114+1)</f>
        <v>2029</v>
      </c>
      <c r="D115" s="11">
        <f>IF(F114+SUM(E$100:E114)=D$93,F114,D$93-SUM(E$100:E114))</f>
        <v>963612.25511182798</v>
      </c>
      <c r="E115" s="377">
        <f t="shared" si="57"/>
        <v>58269.53125</v>
      </c>
      <c r="F115" s="54">
        <f t="shared" si="58"/>
        <v>905342.72386182798</v>
      </c>
      <c r="G115" s="54">
        <f t="shared" si="59"/>
        <v>934477.48948682798</v>
      </c>
      <c r="H115" s="459">
        <f t="shared" si="60"/>
        <v>163365.50529726152</v>
      </c>
      <c r="I115" s="407">
        <f t="shared" si="61"/>
        <v>163365.50529726152</v>
      </c>
      <c r="J115" s="53">
        <f t="shared" si="39"/>
        <v>0</v>
      </c>
      <c r="K115" s="53"/>
      <c r="L115" s="112"/>
      <c r="M115" s="53">
        <f t="shared" si="56"/>
        <v>0</v>
      </c>
      <c r="N115" s="112"/>
      <c r="O115" s="53">
        <f t="shared" si="37"/>
        <v>0</v>
      </c>
      <c r="P115" s="53">
        <f t="shared" si="38"/>
        <v>0</v>
      </c>
      <c r="Q115" s="1"/>
      <c r="R115" s="1"/>
      <c r="S115" s="1"/>
      <c r="T115" s="1"/>
      <c r="U115" s="1"/>
    </row>
    <row r="116" spans="3:21">
      <c r="C116" s="49">
        <f>IF(D94="","-",+C115+1)</f>
        <v>2030</v>
      </c>
      <c r="D116" s="11">
        <f>IF(F115+SUM(E$100:E115)=D$93,F115,D$93-SUM(E$100:E115))</f>
        <v>905342.72386182798</v>
      </c>
      <c r="E116" s="377">
        <f t="shared" si="57"/>
        <v>58269.53125</v>
      </c>
      <c r="F116" s="54">
        <f t="shared" si="58"/>
        <v>847073.19261182798</v>
      </c>
      <c r="G116" s="54">
        <f t="shared" si="59"/>
        <v>876207.95823682798</v>
      </c>
      <c r="H116" s="459">
        <f t="shared" si="60"/>
        <v>156812.22476039268</v>
      </c>
      <c r="I116" s="407">
        <f t="shared" si="61"/>
        <v>156812.22476039268</v>
      </c>
      <c r="J116" s="53">
        <f t="shared" si="39"/>
        <v>0</v>
      </c>
      <c r="K116" s="53"/>
      <c r="L116" s="112"/>
      <c r="M116" s="53">
        <f t="shared" si="56"/>
        <v>0</v>
      </c>
      <c r="N116" s="112"/>
      <c r="O116" s="53">
        <f t="shared" si="37"/>
        <v>0</v>
      </c>
      <c r="P116" s="53">
        <f t="shared" si="38"/>
        <v>0</v>
      </c>
      <c r="Q116" s="1"/>
      <c r="R116" s="1"/>
      <c r="S116" s="1"/>
      <c r="T116" s="1"/>
      <c r="U116" s="1"/>
    </row>
    <row r="117" spans="3:21">
      <c r="C117" s="49">
        <f>IF(D94="","-",+C116+1)</f>
        <v>2031</v>
      </c>
      <c r="D117" s="11">
        <f>IF(F116+SUM(E$100:E116)=D$93,F116,D$93-SUM(E$100:E116))</f>
        <v>847073.19261182798</v>
      </c>
      <c r="E117" s="377">
        <f t="shared" si="57"/>
        <v>58269.53125</v>
      </c>
      <c r="F117" s="54">
        <f t="shared" si="58"/>
        <v>788803.66136182798</v>
      </c>
      <c r="G117" s="54">
        <f t="shared" si="59"/>
        <v>817938.42698682798</v>
      </c>
      <c r="H117" s="459">
        <f t="shared" si="60"/>
        <v>150258.94422352384</v>
      </c>
      <c r="I117" s="407">
        <f t="shared" si="61"/>
        <v>150258.94422352384</v>
      </c>
      <c r="J117" s="53">
        <f t="shared" si="39"/>
        <v>0</v>
      </c>
      <c r="K117" s="53"/>
      <c r="L117" s="112"/>
      <c r="M117" s="53">
        <f t="shared" si="56"/>
        <v>0</v>
      </c>
      <c r="N117" s="112"/>
      <c r="O117" s="53">
        <f t="shared" si="37"/>
        <v>0</v>
      </c>
      <c r="P117" s="53">
        <f t="shared" si="38"/>
        <v>0</v>
      </c>
      <c r="Q117" s="1"/>
      <c r="R117" s="1"/>
      <c r="S117" s="1"/>
      <c r="T117" s="1"/>
      <c r="U117" s="1"/>
    </row>
    <row r="118" spans="3:21">
      <c r="C118" s="49">
        <f>IF(D94="","-",+C117+1)</f>
        <v>2032</v>
      </c>
      <c r="D118" s="11">
        <f>IF(F117+SUM(E$100:E117)=D$93,F117,D$93-SUM(E$100:E117))</f>
        <v>788803.66136182798</v>
      </c>
      <c r="E118" s="377">
        <f t="shared" si="57"/>
        <v>58269.53125</v>
      </c>
      <c r="F118" s="54">
        <f t="shared" si="58"/>
        <v>730534.13011182798</v>
      </c>
      <c r="G118" s="54">
        <f t="shared" si="59"/>
        <v>759668.89573682798</v>
      </c>
      <c r="H118" s="459">
        <f t="shared" si="60"/>
        <v>143705.663686655</v>
      </c>
      <c r="I118" s="407">
        <f t="shared" si="61"/>
        <v>143705.663686655</v>
      </c>
      <c r="J118" s="53">
        <f t="shared" si="39"/>
        <v>0</v>
      </c>
      <c r="K118" s="53"/>
      <c r="L118" s="112"/>
      <c r="M118" s="53">
        <f t="shared" si="56"/>
        <v>0</v>
      </c>
      <c r="N118" s="112"/>
      <c r="O118" s="53">
        <f t="shared" si="37"/>
        <v>0</v>
      </c>
      <c r="P118" s="53">
        <f t="shared" si="38"/>
        <v>0</v>
      </c>
      <c r="Q118" s="1"/>
      <c r="R118" s="1"/>
      <c r="S118" s="1"/>
      <c r="T118" s="1"/>
      <c r="U118" s="1"/>
    </row>
    <row r="119" spans="3:21">
      <c r="C119" s="49">
        <f>IF(D94="","-",+C118+1)</f>
        <v>2033</v>
      </c>
      <c r="D119" s="11">
        <f>IF(F118+SUM(E$100:E118)=D$93,F118,D$93-SUM(E$100:E118))</f>
        <v>730534.13011182798</v>
      </c>
      <c r="E119" s="377">
        <f t="shared" si="57"/>
        <v>58269.53125</v>
      </c>
      <c r="F119" s="54">
        <f t="shared" si="58"/>
        <v>672264.59886182798</v>
      </c>
      <c r="G119" s="54">
        <f t="shared" si="59"/>
        <v>701399.36448682798</v>
      </c>
      <c r="H119" s="459">
        <f t="shared" si="60"/>
        <v>137152.38314978615</v>
      </c>
      <c r="I119" s="407">
        <f t="shared" si="61"/>
        <v>137152.38314978615</v>
      </c>
      <c r="J119" s="53">
        <f t="shared" si="39"/>
        <v>0</v>
      </c>
      <c r="K119" s="53"/>
      <c r="L119" s="112"/>
      <c r="M119" s="53">
        <f t="shared" si="56"/>
        <v>0</v>
      </c>
      <c r="N119" s="112"/>
      <c r="O119" s="53">
        <f t="shared" si="37"/>
        <v>0</v>
      </c>
      <c r="P119" s="53">
        <f t="shared" si="38"/>
        <v>0</v>
      </c>
      <c r="Q119" s="1"/>
      <c r="R119" s="1"/>
      <c r="S119" s="1"/>
      <c r="T119" s="1"/>
      <c r="U119" s="1"/>
    </row>
    <row r="120" spans="3:21">
      <c r="C120" s="49">
        <f>IF(D94="","-",+C119+1)</f>
        <v>2034</v>
      </c>
      <c r="D120" s="11">
        <f>IF(F119+SUM(E$100:E119)=D$93,F119,D$93-SUM(E$100:E119))</f>
        <v>672264.59886182798</v>
      </c>
      <c r="E120" s="377">
        <f t="shared" si="57"/>
        <v>58269.53125</v>
      </c>
      <c r="F120" s="54">
        <f t="shared" si="58"/>
        <v>613995.06761182798</v>
      </c>
      <c r="G120" s="54">
        <f t="shared" si="59"/>
        <v>643129.83323682798</v>
      </c>
      <c r="H120" s="459">
        <f t="shared" si="60"/>
        <v>130599.10261291728</v>
      </c>
      <c r="I120" s="407">
        <f t="shared" si="61"/>
        <v>130599.10261291728</v>
      </c>
      <c r="J120" s="53">
        <f t="shared" si="39"/>
        <v>0</v>
      </c>
      <c r="K120" s="53"/>
      <c r="L120" s="112"/>
      <c r="M120" s="53">
        <f t="shared" si="56"/>
        <v>0</v>
      </c>
      <c r="N120" s="112"/>
      <c r="O120" s="53">
        <f t="shared" si="37"/>
        <v>0</v>
      </c>
      <c r="P120" s="53">
        <f t="shared" si="38"/>
        <v>0</v>
      </c>
      <c r="Q120" s="1"/>
      <c r="R120" s="1"/>
      <c r="S120" s="1"/>
      <c r="T120" s="1"/>
      <c r="U120" s="1"/>
    </row>
    <row r="121" spans="3:21">
      <c r="C121" s="49">
        <f>IF(D94="","-",+C120+1)</f>
        <v>2035</v>
      </c>
      <c r="D121" s="11">
        <f>IF(F120+SUM(E$100:E120)=D$93,F120,D$93-SUM(E$100:E120))</f>
        <v>613995.06761182798</v>
      </c>
      <c r="E121" s="377">
        <f t="shared" si="57"/>
        <v>58269.53125</v>
      </c>
      <c r="F121" s="54">
        <f t="shared" si="58"/>
        <v>555725.53636182798</v>
      </c>
      <c r="G121" s="54">
        <f t="shared" si="59"/>
        <v>584860.30198682798</v>
      </c>
      <c r="H121" s="459">
        <f t="shared" si="60"/>
        <v>124045.82207604844</v>
      </c>
      <c r="I121" s="407">
        <f t="shared" si="61"/>
        <v>124045.82207604844</v>
      </c>
      <c r="J121" s="53">
        <f t="shared" si="39"/>
        <v>0</v>
      </c>
      <c r="K121" s="53"/>
      <c r="L121" s="112"/>
      <c r="M121" s="53">
        <f t="shared" si="56"/>
        <v>0</v>
      </c>
      <c r="N121" s="112"/>
      <c r="O121" s="53">
        <f t="shared" si="37"/>
        <v>0</v>
      </c>
      <c r="P121" s="53">
        <f t="shared" si="38"/>
        <v>0</v>
      </c>
      <c r="Q121" s="1"/>
      <c r="R121" s="1"/>
      <c r="S121" s="1"/>
      <c r="T121" s="1"/>
      <c r="U121" s="1"/>
    </row>
    <row r="122" spans="3:21">
      <c r="C122" s="49">
        <f>IF(D94="","-",+C121+1)</f>
        <v>2036</v>
      </c>
      <c r="D122" s="11">
        <f>IF(F121+SUM(E$100:E121)=D$93,F121,D$93-SUM(E$100:E121))</f>
        <v>555725.53636182798</v>
      </c>
      <c r="E122" s="377">
        <f t="shared" si="57"/>
        <v>58269.53125</v>
      </c>
      <c r="F122" s="54">
        <f t="shared" si="58"/>
        <v>497456.00511182798</v>
      </c>
      <c r="G122" s="54">
        <f t="shared" si="59"/>
        <v>526590.77073682798</v>
      </c>
      <c r="H122" s="459">
        <f t="shared" si="60"/>
        <v>117492.54153917958</v>
      </c>
      <c r="I122" s="407">
        <f t="shared" si="61"/>
        <v>117492.54153917958</v>
      </c>
      <c r="J122" s="53">
        <f t="shared" si="39"/>
        <v>0</v>
      </c>
      <c r="K122" s="53"/>
      <c r="L122" s="112"/>
      <c r="M122" s="53">
        <f t="shared" si="56"/>
        <v>0</v>
      </c>
      <c r="N122" s="112"/>
      <c r="O122" s="53">
        <f t="shared" si="37"/>
        <v>0</v>
      </c>
      <c r="P122" s="53">
        <f t="shared" si="38"/>
        <v>0</v>
      </c>
      <c r="Q122" s="1"/>
      <c r="R122" s="1"/>
      <c r="S122" s="1"/>
      <c r="T122" s="1"/>
      <c r="U122" s="1"/>
    </row>
    <row r="123" spans="3:21">
      <c r="C123" s="49">
        <f>IF(D94="","-",+C122+1)</f>
        <v>2037</v>
      </c>
      <c r="D123" s="11">
        <f>IF(F122+SUM(E$100:E122)=D$93,F122,D$93-SUM(E$100:E122))</f>
        <v>497456.00511182798</v>
      </c>
      <c r="E123" s="377">
        <f t="shared" si="57"/>
        <v>58269.53125</v>
      </c>
      <c r="F123" s="54">
        <f t="shared" si="58"/>
        <v>439186.47386182798</v>
      </c>
      <c r="G123" s="54">
        <f t="shared" si="59"/>
        <v>468321.23948682798</v>
      </c>
      <c r="H123" s="459">
        <f t="shared" si="60"/>
        <v>110939.26100231073</v>
      </c>
      <c r="I123" s="407">
        <f t="shared" si="61"/>
        <v>110939.26100231073</v>
      </c>
      <c r="J123" s="53">
        <f t="shared" si="39"/>
        <v>0</v>
      </c>
      <c r="K123" s="53"/>
      <c r="L123" s="112"/>
      <c r="M123" s="53">
        <f t="shared" si="56"/>
        <v>0</v>
      </c>
      <c r="N123" s="112"/>
      <c r="O123" s="53">
        <f t="shared" si="37"/>
        <v>0</v>
      </c>
      <c r="P123" s="53">
        <f t="shared" si="38"/>
        <v>0</v>
      </c>
      <c r="Q123" s="1"/>
      <c r="R123" s="1"/>
      <c r="S123" s="1"/>
      <c r="T123" s="1"/>
      <c r="U123" s="1"/>
    </row>
    <row r="124" spans="3:21">
      <c r="C124" s="49">
        <f>IF(D94="","-",+C123+1)</f>
        <v>2038</v>
      </c>
      <c r="D124" s="11">
        <f>IF(F123+SUM(E$100:E123)=D$93,F123,D$93-SUM(E$100:E123))</f>
        <v>439186.47386182798</v>
      </c>
      <c r="E124" s="377">
        <f t="shared" si="57"/>
        <v>58269.53125</v>
      </c>
      <c r="F124" s="54">
        <f t="shared" si="58"/>
        <v>380916.94261182798</v>
      </c>
      <c r="G124" s="54">
        <f t="shared" si="59"/>
        <v>410051.70823682798</v>
      </c>
      <c r="H124" s="459">
        <f t="shared" si="60"/>
        <v>104385.98046544188</v>
      </c>
      <c r="I124" s="407">
        <f t="shared" si="61"/>
        <v>104385.98046544188</v>
      </c>
      <c r="J124" s="53">
        <f t="shared" si="39"/>
        <v>0</v>
      </c>
      <c r="K124" s="53"/>
      <c r="L124" s="112"/>
      <c r="M124" s="53">
        <f t="shared" si="56"/>
        <v>0</v>
      </c>
      <c r="N124" s="112"/>
      <c r="O124" s="53">
        <f t="shared" si="37"/>
        <v>0</v>
      </c>
      <c r="P124" s="53">
        <f t="shared" si="38"/>
        <v>0</v>
      </c>
      <c r="Q124" s="1"/>
      <c r="R124" s="1"/>
      <c r="S124" s="1"/>
      <c r="T124" s="1"/>
      <c r="U124" s="1"/>
    </row>
    <row r="125" spans="3:21">
      <c r="C125" s="49">
        <f>IF(D94="","-",+C124+1)</f>
        <v>2039</v>
      </c>
      <c r="D125" s="11">
        <f>IF(F124+SUM(E$100:E124)=D$93,F124,D$93-SUM(E$100:E124))</f>
        <v>380916.94261182798</v>
      </c>
      <c r="E125" s="377">
        <f t="shared" si="57"/>
        <v>58269.53125</v>
      </c>
      <c r="F125" s="54">
        <f t="shared" si="58"/>
        <v>322647.41136182798</v>
      </c>
      <c r="G125" s="54">
        <f t="shared" si="59"/>
        <v>351782.17698682798</v>
      </c>
      <c r="H125" s="459">
        <f t="shared" si="60"/>
        <v>97832.699928573042</v>
      </c>
      <c r="I125" s="407">
        <f t="shared" si="61"/>
        <v>97832.699928573042</v>
      </c>
      <c r="J125" s="53">
        <f t="shared" si="39"/>
        <v>0</v>
      </c>
      <c r="K125" s="53"/>
      <c r="L125" s="112"/>
      <c r="M125" s="53">
        <f t="shared" si="56"/>
        <v>0</v>
      </c>
      <c r="N125" s="112"/>
      <c r="O125" s="53">
        <f t="shared" si="37"/>
        <v>0</v>
      </c>
      <c r="P125" s="53">
        <f t="shared" si="38"/>
        <v>0</v>
      </c>
      <c r="Q125" s="1"/>
      <c r="R125" s="1"/>
      <c r="S125" s="1"/>
      <c r="T125" s="1"/>
      <c r="U125" s="1"/>
    </row>
    <row r="126" spans="3:21">
      <c r="C126" s="49">
        <f>IF(D94="","-",+C125+1)</f>
        <v>2040</v>
      </c>
      <c r="D126" s="11">
        <f>IF(F125+SUM(E$100:E125)=D$93,F125,D$93-SUM(E$100:E125))</f>
        <v>322647.41136182798</v>
      </c>
      <c r="E126" s="377">
        <f t="shared" si="57"/>
        <v>58269.53125</v>
      </c>
      <c r="F126" s="54">
        <f t="shared" si="58"/>
        <v>264377.88011182798</v>
      </c>
      <c r="G126" s="54">
        <f t="shared" si="59"/>
        <v>293512.64573682798</v>
      </c>
      <c r="H126" s="459">
        <f t="shared" si="60"/>
        <v>91279.419391704185</v>
      </c>
      <c r="I126" s="407">
        <f t="shared" si="61"/>
        <v>91279.419391704185</v>
      </c>
      <c r="J126" s="53">
        <f t="shared" si="39"/>
        <v>0</v>
      </c>
      <c r="K126" s="53"/>
      <c r="L126" s="112"/>
      <c r="M126" s="53">
        <f t="shared" si="56"/>
        <v>0</v>
      </c>
      <c r="N126" s="112"/>
      <c r="O126" s="53">
        <f t="shared" si="37"/>
        <v>0</v>
      </c>
      <c r="P126" s="53">
        <f t="shared" si="38"/>
        <v>0</v>
      </c>
      <c r="Q126" s="1"/>
      <c r="R126" s="1"/>
      <c r="S126" s="1"/>
      <c r="T126" s="1"/>
      <c r="U126" s="1"/>
    </row>
    <row r="127" spans="3:21">
      <c r="C127" s="49">
        <f>IF(D94="","-",+C126+1)</f>
        <v>2041</v>
      </c>
      <c r="D127" s="11">
        <f>IF(F126+SUM(E$100:E126)=D$93,F126,D$93-SUM(E$100:E126))</f>
        <v>264377.88011182798</v>
      </c>
      <c r="E127" s="377">
        <f t="shared" si="57"/>
        <v>58269.53125</v>
      </c>
      <c r="F127" s="54">
        <f t="shared" si="58"/>
        <v>206108.34886182798</v>
      </c>
      <c r="G127" s="54">
        <f t="shared" si="59"/>
        <v>235243.11448682798</v>
      </c>
      <c r="H127" s="459">
        <f t="shared" si="60"/>
        <v>84726.138854835328</v>
      </c>
      <c r="I127" s="407">
        <f t="shared" si="61"/>
        <v>84726.138854835328</v>
      </c>
      <c r="J127" s="53">
        <f t="shared" si="39"/>
        <v>0</v>
      </c>
      <c r="K127" s="53"/>
      <c r="L127" s="112"/>
      <c r="M127" s="53">
        <f t="shared" si="56"/>
        <v>0</v>
      </c>
      <c r="N127" s="112"/>
      <c r="O127" s="53">
        <f t="shared" si="37"/>
        <v>0</v>
      </c>
      <c r="P127" s="53">
        <f t="shared" si="38"/>
        <v>0</v>
      </c>
      <c r="Q127" s="1"/>
      <c r="R127" s="1"/>
      <c r="S127" s="1"/>
      <c r="T127" s="1"/>
      <c r="U127" s="1"/>
    </row>
    <row r="128" spans="3:21">
      <c r="C128" s="49">
        <f>IF(D94="","-",+C127+1)</f>
        <v>2042</v>
      </c>
      <c r="D128" s="11">
        <f>IF(F127+SUM(E$100:E127)=D$93,F127,D$93-SUM(E$100:E127))</f>
        <v>206108.34886182798</v>
      </c>
      <c r="E128" s="377">
        <f t="shared" si="57"/>
        <v>58269.53125</v>
      </c>
      <c r="F128" s="54">
        <f t="shared" si="58"/>
        <v>147838.81761182798</v>
      </c>
      <c r="G128" s="54">
        <f t="shared" si="59"/>
        <v>176973.58323682798</v>
      </c>
      <c r="H128" s="459">
        <f t="shared" si="60"/>
        <v>78172.858317966486</v>
      </c>
      <c r="I128" s="407">
        <f t="shared" si="61"/>
        <v>78172.858317966486</v>
      </c>
      <c r="J128" s="53">
        <f t="shared" si="39"/>
        <v>0</v>
      </c>
      <c r="K128" s="53"/>
      <c r="L128" s="112"/>
      <c r="M128" s="53">
        <f t="shared" si="56"/>
        <v>0</v>
      </c>
      <c r="N128" s="112"/>
      <c r="O128" s="53">
        <f t="shared" si="37"/>
        <v>0</v>
      </c>
      <c r="P128" s="53">
        <f t="shared" si="38"/>
        <v>0</v>
      </c>
      <c r="Q128" s="1"/>
      <c r="R128" s="1"/>
      <c r="S128" s="1"/>
      <c r="T128" s="1"/>
      <c r="U128" s="1"/>
    </row>
    <row r="129" spans="3:21">
      <c r="C129" s="49">
        <f>IF(D94="","-",+C128+1)</f>
        <v>2043</v>
      </c>
      <c r="D129" s="11">
        <f>IF(F128+SUM(E$100:E128)=D$93,F128,D$93-SUM(E$100:E128))</f>
        <v>147838.81761182798</v>
      </c>
      <c r="E129" s="377">
        <f t="shared" si="57"/>
        <v>58269.53125</v>
      </c>
      <c r="F129" s="54">
        <f t="shared" si="58"/>
        <v>89569.286361827981</v>
      </c>
      <c r="G129" s="54">
        <f t="shared" si="59"/>
        <v>118704.05198682798</v>
      </c>
      <c r="H129" s="459">
        <f t="shared" si="60"/>
        <v>71619.577781097643</v>
      </c>
      <c r="I129" s="407">
        <f t="shared" si="61"/>
        <v>71619.577781097643</v>
      </c>
      <c r="J129" s="53">
        <f t="shared" si="39"/>
        <v>0</v>
      </c>
      <c r="K129" s="53"/>
      <c r="L129" s="112"/>
      <c r="M129" s="53">
        <f t="shared" si="56"/>
        <v>0</v>
      </c>
      <c r="N129" s="112"/>
      <c r="O129" s="53">
        <f t="shared" si="37"/>
        <v>0</v>
      </c>
      <c r="P129" s="53">
        <f t="shared" si="38"/>
        <v>0</v>
      </c>
      <c r="Q129" s="1"/>
      <c r="R129" s="1"/>
      <c r="S129" s="1"/>
      <c r="T129" s="1"/>
      <c r="U129" s="1"/>
    </row>
    <row r="130" spans="3:21">
      <c r="C130" s="49">
        <f>IF(D94="","-",+C129+1)</f>
        <v>2044</v>
      </c>
      <c r="D130" s="11">
        <f>IF(F129+SUM(E$100:E129)=D$93,F129,D$93-SUM(E$100:E129))</f>
        <v>89569.286361827981</v>
      </c>
      <c r="E130" s="377">
        <f t="shared" si="57"/>
        <v>58269.53125</v>
      </c>
      <c r="F130" s="54">
        <f t="shared" si="58"/>
        <v>31299.755111827981</v>
      </c>
      <c r="G130" s="54">
        <f t="shared" si="59"/>
        <v>60434.520736827981</v>
      </c>
      <c r="H130" s="459">
        <f t="shared" si="60"/>
        <v>65066.297244228786</v>
      </c>
      <c r="I130" s="407">
        <f t="shared" si="61"/>
        <v>65066.297244228786</v>
      </c>
      <c r="J130" s="53">
        <f t="shared" si="39"/>
        <v>0</v>
      </c>
      <c r="K130" s="53"/>
      <c r="L130" s="112"/>
      <c r="M130" s="53">
        <f t="shared" si="56"/>
        <v>0</v>
      </c>
      <c r="N130" s="112"/>
      <c r="O130" s="53">
        <f t="shared" si="37"/>
        <v>0</v>
      </c>
      <c r="P130" s="53">
        <f t="shared" si="38"/>
        <v>0</v>
      </c>
      <c r="Q130" s="1"/>
      <c r="R130" s="1"/>
      <c r="S130" s="1"/>
      <c r="T130" s="1"/>
      <c r="U130" s="1"/>
    </row>
    <row r="131" spans="3:21">
      <c r="C131" s="49">
        <f>IF(D94="","-",+C130+1)</f>
        <v>2045</v>
      </c>
      <c r="D131" s="11">
        <f>IF(F130+SUM(E$100:E130)=D$93,F130,D$93-SUM(E$100:E130))</f>
        <v>31299.755111827981</v>
      </c>
      <c r="E131" s="377">
        <f t="shared" si="57"/>
        <v>31299.755111827981</v>
      </c>
      <c r="F131" s="54">
        <f t="shared" si="58"/>
        <v>0</v>
      </c>
      <c r="G131" s="54">
        <f t="shared" si="59"/>
        <v>15649.87755591399</v>
      </c>
      <c r="H131" s="459">
        <f t="shared" si="60"/>
        <v>33059.817974725163</v>
      </c>
      <c r="I131" s="407">
        <f t="shared" si="61"/>
        <v>33059.817974725163</v>
      </c>
      <c r="J131" s="53">
        <f t="shared" si="39"/>
        <v>0</v>
      </c>
      <c r="K131" s="53"/>
      <c r="L131" s="112"/>
      <c r="M131" s="53">
        <f t="shared" si="56"/>
        <v>0</v>
      </c>
      <c r="N131" s="112"/>
      <c r="O131" s="53">
        <f t="shared" si="37"/>
        <v>0</v>
      </c>
      <c r="P131" s="53">
        <f t="shared" si="38"/>
        <v>0</v>
      </c>
      <c r="Q131" s="1"/>
      <c r="R131" s="1"/>
      <c r="S131" s="1"/>
      <c r="T131" s="1"/>
      <c r="U131" s="1"/>
    </row>
    <row r="132" spans="3:21">
      <c r="C132" s="49">
        <f>IF(D94="","-",+C131+1)</f>
        <v>2046</v>
      </c>
      <c r="D132" s="11">
        <f>IF(F131+SUM(E$100:E131)=D$93,F131,D$93-SUM(E$100:E131))</f>
        <v>0</v>
      </c>
      <c r="E132" s="377">
        <f t="shared" si="57"/>
        <v>0</v>
      </c>
      <c r="F132" s="54">
        <f t="shared" si="58"/>
        <v>0</v>
      </c>
      <c r="G132" s="54">
        <f t="shared" si="59"/>
        <v>0</v>
      </c>
      <c r="H132" s="459">
        <f t="shared" si="60"/>
        <v>0</v>
      </c>
      <c r="I132" s="407">
        <f t="shared" si="61"/>
        <v>0</v>
      </c>
      <c r="J132" s="53">
        <f t="shared" si="39"/>
        <v>0</v>
      </c>
      <c r="K132" s="53"/>
      <c r="L132" s="112"/>
      <c r="M132" s="53">
        <f t="shared" ref="M132:M155" si="62">IF(L542&lt;&gt;0,+H542-L542,0)</f>
        <v>0</v>
      </c>
      <c r="N132" s="112"/>
      <c r="O132" s="53">
        <f t="shared" ref="O132:O155" si="63">IF(N542&lt;&gt;0,+I542-N542,0)</f>
        <v>0</v>
      </c>
      <c r="P132" s="53">
        <f t="shared" ref="P132:P155" si="64">+O542-M542</f>
        <v>0</v>
      </c>
      <c r="Q132" s="1"/>
      <c r="R132" s="1"/>
      <c r="S132" s="1"/>
      <c r="T132" s="1"/>
      <c r="U132" s="1"/>
    </row>
    <row r="133" spans="3:21">
      <c r="C133" s="49">
        <f>IF(D94="","-",+C132+1)</f>
        <v>2047</v>
      </c>
      <c r="D133" s="11">
        <f>IF(F132+SUM(E$100:E132)=D$93,F132,D$93-SUM(E$100:E132))</f>
        <v>0</v>
      </c>
      <c r="E133" s="377">
        <f t="shared" si="57"/>
        <v>0</v>
      </c>
      <c r="F133" s="54">
        <f t="shared" si="58"/>
        <v>0</v>
      </c>
      <c r="G133" s="54">
        <f t="shared" si="59"/>
        <v>0</v>
      </c>
      <c r="H133" s="459">
        <f t="shared" si="60"/>
        <v>0</v>
      </c>
      <c r="I133" s="407">
        <f t="shared" si="61"/>
        <v>0</v>
      </c>
      <c r="J133" s="53">
        <f t="shared" si="39"/>
        <v>0</v>
      </c>
      <c r="K133" s="53"/>
      <c r="L133" s="112"/>
      <c r="M133" s="53">
        <f t="shared" si="62"/>
        <v>0</v>
      </c>
      <c r="N133" s="112"/>
      <c r="O133" s="53">
        <f t="shared" si="63"/>
        <v>0</v>
      </c>
      <c r="P133" s="53">
        <f t="shared" si="64"/>
        <v>0</v>
      </c>
      <c r="Q133" s="1"/>
      <c r="R133" s="1"/>
      <c r="S133" s="1"/>
      <c r="T133" s="1"/>
      <c r="U133" s="1"/>
    </row>
    <row r="134" spans="3:21">
      <c r="C134" s="49">
        <f>IF(D94="","-",+C133+1)</f>
        <v>2048</v>
      </c>
      <c r="D134" s="11">
        <f>IF(F133+SUM(E$100:E133)=D$93,F133,D$93-SUM(E$100:E133))</f>
        <v>0</v>
      </c>
      <c r="E134" s="377">
        <f t="shared" si="57"/>
        <v>0</v>
      </c>
      <c r="F134" s="54">
        <f t="shared" si="58"/>
        <v>0</v>
      </c>
      <c r="G134" s="54">
        <f t="shared" si="59"/>
        <v>0</v>
      </c>
      <c r="H134" s="459">
        <f t="shared" si="60"/>
        <v>0</v>
      </c>
      <c r="I134" s="407">
        <f t="shared" si="61"/>
        <v>0</v>
      </c>
      <c r="J134" s="53">
        <f t="shared" si="39"/>
        <v>0</v>
      </c>
      <c r="K134" s="53"/>
      <c r="L134" s="112"/>
      <c r="M134" s="53">
        <f t="shared" si="62"/>
        <v>0</v>
      </c>
      <c r="N134" s="112"/>
      <c r="O134" s="53">
        <f t="shared" si="63"/>
        <v>0</v>
      </c>
      <c r="P134" s="53">
        <f t="shared" si="64"/>
        <v>0</v>
      </c>
      <c r="Q134" s="1"/>
      <c r="R134" s="1"/>
      <c r="S134" s="1"/>
      <c r="T134" s="1"/>
      <c r="U134" s="1"/>
    </row>
    <row r="135" spans="3:21">
      <c r="C135" s="49">
        <f>IF(D94="","-",+C134+1)</f>
        <v>2049</v>
      </c>
      <c r="D135" s="11">
        <f>IF(F134+SUM(E$100:E134)=D$93,F134,D$93-SUM(E$100:E134))</f>
        <v>0</v>
      </c>
      <c r="E135" s="377">
        <f t="shared" si="57"/>
        <v>0</v>
      </c>
      <c r="F135" s="54">
        <f t="shared" si="58"/>
        <v>0</v>
      </c>
      <c r="G135" s="54">
        <f t="shared" si="59"/>
        <v>0</v>
      </c>
      <c r="H135" s="459">
        <f t="shared" si="60"/>
        <v>0</v>
      </c>
      <c r="I135" s="407">
        <f t="shared" si="61"/>
        <v>0</v>
      </c>
      <c r="J135" s="53">
        <f t="shared" si="39"/>
        <v>0</v>
      </c>
      <c r="K135" s="53"/>
      <c r="L135" s="112"/>
      <c r="M135" s="53">
        <f t="shared" si="62"/>
        <v>0</v>
      </c>
      <c r="N135" s="112"/>
      <c r="O135" s="53">
        <f t="shared" si="63"/>
        <v>0</v>
      </c>
      <c r="P135" s="53">
        <f t="shared" si="64"/>
        <v>0</v>
      </c>
      <c r="Q135" s="1"/>
      <c r="R135" s="1"/>
      <c r="S135" s="1"/>
      <c r="T135" s="1"/>
      <c r="U135" s="1"/>
    </row>
    <row r="136" spans="3:21">
      <c r="C136" s="49">
        <f>IF(D94="","-",+C135+1)</f>
        <v>2050</v>
      </c>
      <c r="D136" s="11">
        <f>IF(F135+SUM(E$100:E135)=D$93,F135,D$93-SUM(E$100:E135))</f>
        <v>0</v>
      </c>
      <c r="E136" s="377">
        <f t="shared" si="57"/>
        <v>0</v>
      </c>
      <c r="F136" s="54">
        <f t="shared" si="58"/>
        <v>0</v>
      </c>
      <c r="G136" s="54">
        <f t="shared" si="59"/>
        <v>0</v>
      </c>
      <c r="H136" s="459">
        <f t="shared" si="60"/>
        <v>0</v>
      </c>
      <c r="I136" s="407">
        <f t="shared" si="61"/>
        <v>0</v>
      </c>
      <c r="J136" s="53">
        <f t="shared" si="39"/>
        <v>0</v>
      </c>
      <c r="K136" s="53"/>
      <c r="L136" s="112"/>
      <c r="M136" s="53">
        <f t="shared" si="62"/>
        <v>0</v>
      </c>
      <c r="N136" s="112"/>
      <c r="O136" s="53">
        <f t="shared" si="63"/>
        <v>0</v>
      </c>
      <c r="P136" s="53">
        <f t="shared" si="64"/>
        <v>0</v>
      </c>
      <c r="Q136" s="1"/>
      <c r="R136" s="1"/>
      <c r="S136" s="1"/>
      <c r="T136" s="1"/>
      <c r="U136" s="1"/>
    </row>
    <row r="137" spans="3:21">
      <c r="C137" s="49">
        <f>IF(D94="","-",+C136+1)</f>
        <v>2051</v>
      </c>
      <c r="D137" s="11">
        <f>IF(F136+SUM(E$100:E136)=D$93,F136,D$93-SUM(E$100:E136))</f>
        <v>0</v>
      </c>
      <c r="E137" s="377">
        <f t="shared" si="57"/>
        <v>0</v>
      </c>
      <c r="F137" s="54">
        <f t="shared" si="58"/>
        <v>0</v>
      </c>
      <c r="G137" s="54">
        <f t="shared" si="59"/>
        <v>0</v>
      </c>
      <c r="H137" s="459">
        <f t="shared" si="60"/>
        <v>0</v>
      </c>
      <c r="I137" s="407">
        <f t="shared" si="61"/>
        <v>0</v>
      </c>
      <c r="J137" s="53">
        <f t="shared" si="39"/>
        <v>0</v>
      </c>
      <c r="K137" s="53"/>
      <c r="L137" s="112"/>
      <c r="M137" s="53">
        <f t="shared" si="62"/>
        <v>0</v>
      </c>
      <c r="N137" s="112"/>
      <c r="O137" s="53">
        <f t="shared" si="63"/>
        <v>0</v>
      </c>
      <c r="P137" s="53">
        <f t="shared" si="64"/>
        <v>0</v>
      </c>
      <c r="Q137" s="1"/>
      <c r="R137" s="1"/>
      <c r="S137" s="1"/>
      <c r="T137" s="1"/>
      <c r="U137" s="1"/>
    </row>
    <row r="138" spans="3:21">
      <c r="C138" s="49">
        <f>IF(D94="","-",+C137+1)</f>
        <v>2052</v>
      </c>
      <c r="D138" s="11">
        <f>IF(F137+SUM(E$100:E137)=D$93,F137,D$93-SUM(E$100:E137))</f>
        <v>0</v>
      </c>
      <c r="E138" s="377">
        <f t="shared" si="57"/>
        <v>0</v>
      </c>
      <c r="F138" s="54">
        <f t="shared" si="58"/>
        <v>0</v>
      </c>
      <c r="G138" s="54">
        <f t="shared" si="59"/>
        <v>0</v>
      </c>
      <c r="H138" s="459">
        <f t="shared" si="60"/>
        <v>0</v>
      </c>
      <c r="I138" s="407">
        <f t="shared" si="61"/>
        <v>0</v>
      </c>
      <c r="J138" s="53">
        <f t="shared" si="39"/>
        <v>0</v>
      </c>
      <c r="K138" s="53"/>
      <c r="L138" s="112"/>
      <c r="M138" s="53">
        <f t="shared" si="62"/>
        <v>0</v>
      </c>
      <c r="N138" s="112"/>
      <c r="O138" s="53">
        <f t="shared" si="63"/>
        <v>0</v>
      </c>
      <c r="P138" s="53">
        <f t="shared" si="64"/>
        <v>0</v>
      </c>
      <c r="Q138" s="1"/>
      <c r="R138" s="1"/>
      <c r="S138" s="1"/>
      <c r="T138" s="1"/>
      <c r="U138" s="1"/>
    </row>
    <row r="139" spans="3:21">
      <c r="C139" s="49">
        <f>IF(D94="","-",+C138+1)</f>
        <v>2053</v>
      </c>
      <c r="D139" s="11">
        <f>IF(F138+SUM(E$100:E138)=D$93,F138,D$93-SUM(E$100:E138))</f>
        <v>0</v>
      </c>
      <c r="E139" s="377">
        <f t="shared" si="57"/>
        <v>0</v>
      </c>
      <c r="F139" s="54">
        <f t="shared" si="58"/>
        <v>0</v>
      </c>
      <c r="G139" s="54">
        <f t="shared" si="59"/>
        <v>0</v>
      </c>
      <c r="H139" s="459">
        <f t="shared" si="60"/>
        <v>0</v>
      </c>
      <c r="I139" s="407">
        <f t="shared" si="61"/>
        <v>0</v>
      </c>
      <c r="J139" s="53">
        <f t="shared" si="39"/>
        <v>0</v>
      </c>
      <c r="K139" s="53"/>
      <c r="L139" s="112"/>
      <c r="M139" s="53">
        <f t="shared" si="62"/>
        <v>0</v>
      </c>
      <c r="N139" s="112"/>
      <c r="O139" s="53">
        <f t="shared" si="63"/>
        <v>0</v>
      </c>
      <c r="P139" s="53">
        <f t="shared" si="64"/>
        <v>0</v>
      </c>
      <c r="Q139" s="1"/>
      <c r="R139" s="1"/>
      <c r="S139" s="1"/>
      <c r="T139" s="1"/>
      <c r="U139" s="1"/>
    </row>
    <row r="140" spans="3:21">
      <c r="C140" s="49">
        <f>IF(D94="","-",+C139+1)</f>
        <v>2054</v>
      </c>
      <c r="D140" s="11">
        <f>IF(F139+SUM(E$100:E139)=D$93,F139,D$93-SUM(E$100:E139))</f>
        <v>0</v>
      </c>
      <c r="E140" s="377">
        <f t="shared" si="57"/>
        <v>0</v>
      </c>
      <c r="F140" s="54">
        <f t="shared" si="58"/>
        <v>0</v>
      </c>
      <c r="G140" s="54">
        <f t="shared" si="59"/>
        <v>0</v>
      </c>
      <c r="H140" s="459">
        <f t="shared" si="60"/>
        <v>0</v>
      </c>
      <c r="I140" s="407">
        <f t="shared" si="61"/>
        <v>0</v>
      </c>
      <c r="J140" s="53">
        <f t="shared" si="39"/>
        <v>0</v>
      </c>
      <c r="K140" s="53"/>
      <c r="L140" s="112"/>
      <c r="M140" s="53">
        <f t="shared" si="62"/>
        <v>0</v>
      </c>
      <c r="N140" s="112"/>
      <c r="O140" s="53">
        <f t="shared" si="63"/>
        <v>0</v>
      </c>
      <c r="P140" s="53">
        <f t="shared" si="64"/>
        <v>0</v>
      </c>
      <c r="Q140" s="1"/>
      <c r="R140" s="1"/>
      <c r="S140" s="1"/>
      <c r="T140" s="1"/>
      <c r="U140" s="1"/>
    </row>
    <row r="141" spans="3:21">
      <c r="C141" s="49">
        <f>IF(D94="","-",+C140+1)</f>
        <v>2055</v>
      </c>
      <c r="D141" s="11">
        <f>IF(F140+SUM(E$100:E140)=D$93,F140,D$93-SUM(E$100:E140))</f>
        <v>0</v>
      </c>
      <c r="E141" s="377">
        <f t="shared" si="57"/>
        <v>0</v>
      </c>
      <c r="F141" s="54">
        <f t="shared" si="58"/>
        <v>0</v>
      </c>
      <c r="G141" s="54">
        <f t="shared" si="59"/>
        <v>0</v>
      </c>
      <c r="H141" s="459">
        <f t="shared" si="60"/>
        <v>0</v>
      </c>
      <c r="I141" s="407">
        <f t="shared" si="61"/>
        <v>0</v>
      </c>
      <c r="J141" s="53">
        <f t="shared" si="39"/>
        <v>0</v>
      </c>
      <c r="K141" s="53"/>
      <c r="L141" s="112"/>
      <c r="M141" s="53">
        <f t="shared" si="62"/>
        <v>0</v>
      </c>
      <c r="N141" s="112"/>
      <c r="O141" s="53">
        <f t="shared" si="63"/>
        <v>0</v>
      </c>
      <c r="P141" s="53">
        <f t="shared" si="64"/>
        <v>0</v>
      </c>
      <c r="Q141" s="1"/>
      <c r="R141" s="1"/>
      <c r="S141" s="1"/>
      <c r="T141" s="1"/>
      <c r="U141" s="1"/>
    </row>
    <row r="142" spans="3:21">
      <c r="C142" s="49">
        <f>IF(D94="","-",+C141+1)</f>
        <v>2056</v>
      </c>
      <c r="D142" s="11">
        <f>IF(F141+SUM(E$100:E141)=D$93,F141,D$93-SUM(E$100:E141))</f>
        <v>0</v>
      </c>
      <c r="E142" s="377">
        <f t="shared" si="57"/>
        <v>0</v>
      </c>
      <c r="F142" s="54">
        <f t="shared" si="58"/>
        <v>0</v>
      </c>
      <c r="G142" s="54">
        <f t="shared" si="59"/>
        <v>0</v>
      </c>
      <c r="H142" s="459">
        <f t="shared" si="60"/>
        <v>0</v>
      </c>
      <c r="I142" s="407">
        <f t="shared" si="61"/>
        <v>0</v>
      </c>
      <c r="J142" s="53">
        <f t="shared" si="39"/>
        <v>0</v>
      </c>
      <c r="K142" s="53"/>
      <c r="L142" s="112"/>
      <c r="M142" s="53">
        <f t="shared" si="62"/>
        <v>0</v>
      </c>
      <c r="N142" s="112"/>
      <c r="O142" s="53">
        <f t="shared" si="63"/>
        <v>0</v>
      </c>
      <c r="P142" s="53">
        <f t="shared" si="64"/>
        <v>0</v>
      </c>
      <c r="Q142" s="1"/>
      <c r="R142" s="1"/>
      <c r="S142" s="1"/>
      <c r="T142" s="1"/>
      <c r="U142" s="1"/>
    </row>
    <row r="143" spans="3:21">
      <c r="C143" s="49">
        <f>IF(D94="","-",+C142+1)</f>
        <v>2057</v>
      </c>
      <c r="D143" s="11">
        <f>IF(F142+SUM(E$100:E142)=D$93,F142,D$93-SUM(E$100:E142))</f>
        <v>0</v>
      </c>
      <c r="E143" s="377">
        <f t="shared" si="57"/>
        <v>0</v>
      </c>
      <c r="F143" s="54">
        <f t="shared" si="58"/>
        <v>0</v>
      </c>
      <c r="G143" s="54">
        <f t="shared" si="59"/>
        <v>0</v>
      </c>
      <c r="H143" s="459">
        <f t="shared" si="60"/>
        <v>0</v>
      </c>
      <c r="I143" s="407">
        <f t="shared" si="61"/>
        <v>0</v>
      </c>
      <c r="J143" s="53">
        <f t="shared" si="39"/>
        <v>0</v>
      </c>
      <c r="K143" s="53"/>
      <c r="L143" s="112"/>
      <c r="M143" s="53">
        <f t="shared" si="62"/>
        <v>0</v>
      </c>
      <c r="N143" s="112"/>
      <c r="O143" s="53">
        <f t="shared" si="63"/>
        <v>0</v>
      </c>
      <c r="P143" s="53">
        <f t="shared" si="64"/>
        <v>0</v>
      </c>
      <c r="Q143" s="1"/>
      <c r="R143" s="1"/>
      <c r="S143" s="1"/>
      <c r="T143" s="1"/>
      <c r="U143" s="1"/>
    </row>
    <row r="144" spans="3:21">
      <c r="C144" s="49">
        <f>IF(D94="","-",+C143+1)</f>
        <v>2058</v>
      </c>
      <c r="D144" s="11">
        <f>IF(F143+SUM(E$100:E143)=D$93,F143,D$93-SUM(E$100:E143))</f>
        <v>0</v>
      </c>
      <c r="E144" s="377">
        <f t="shared" si="57"/>
        <v>0</v>
      </c>
      <c r="F144" s="54">
        <f t="shared" si="58"/>
        <v>0</v>
      </c>
      <c r="G144" s="54">
        <f t="shared" si="59"/>
        <v>0</v>
      </c>
      <c r="H144" s="459">
        <f t="shared" si="60"/>
        <v>0</v>
      </c>
      <c r="I144" s="407">
        <f t="shared" si="61"/>
        <v>0</v>
      </c>
      <c r="J144" s="53">
        <f t="shared" si="39"/>
        <v>0</v>
      </c>
      <c r="K144" s="53"/>
      <c r="L144" s="112"/>
      <c r="M144" s="53">
        <f t="shared" si="62"/>
        <v>0</v>
      </c>
      <c r="N144" s="112"/>
      <c r="O144" s="53">
        <f t="shared" si="63"/>
        <v>0</v>
      </c>
      <c r="P144" s="53">
        <f t="shared" si="64"/>
        <v>0</v>
      </c>
      <c r="Q144" s="1"/>
      <c r="R144" s="1"/>
      <c r="S144" s="1"/>
      <c r="T144" s="1"/>
      <c r="U144" s="1"/>
    </row>
    <row r="145" spans="3:21">
      <c r="C145" s="49">
        <f>IF(D94="","-",+C144+1)</f>
        <v>2059</v>
      </c>
      <c r="D145" s="11">
        <f>IF(F144+SUM(E$100:E144)=D$93,F144,D$93-SUM(E$100:E144))</f>
        <v>0</v>
      </c>
      <c r="E145" s="377">
        <f t="shared" si="57"/>
        <v>0</v>
      </c>
      <c r="F145" s="54">
        <f t="shared" si="58"/>
        <v>0</v>
      </c>
      <c r="G145" s="54">
        <f t="shared" si="59"/>
        <v>0</v>
      </c>
      <c r="H145" s="459">
        <f t="shared" si="60"/>
        <v>0</v>
      </c>
      <c r="I145" s="407">
        <f t="shared" si="61"/>
        <v>0</v>
      </c>
      <c r="J145" s="53">
        <f t="shared" si="39"/>
        <v>0</v>
      </c>
      <c r="K145" s="53"/>
      <c r="L145" s="112"/>
      <c r="M145" s="53">
        <f t="shared" si="62"/>
        <v>0</v>
      </c>
      <c r="N145" s="112"/>
      <c r="O145" s="53">
        <f t="shared" si="63"/>
        <v>0</v>
      </c>
      <c r="P145" s="53">
        <f t="shared" si="64"/>
        <v>0</v>
      </c>
      <c r="Q145" s="1"/>
      <c r="R145" s="1"/>
      <c r="S145" s="1"/>
      <c r="T145" s="1"/>
      <c r="U145" s="1"/>
    </row>
    <row r="146" spans="3:21">
      <c r="C146" s="49">
        <f>IF(D94="","-",+C145+1)</f>
        <v>2060</v>
      </c>
      <c r="D146" s="11">
        <f>IF(F145+SUM(E$100:E145)=D$93,F145,D$93-SUM(E$100:E145))</f>
        <v>0</v>
      </c>
      <c r="E146" s="377">
        <f t="shared" si="57"/>
        <v>0</v>
      </c>
      <c r="F146" s="54">
        <f t="shared" si="58"/>
        <v>0</v>
      </c>
      <c r="G146" s="54">
        <f t="shared" si="59"/>
        <v>0</v>
      </c>
      <c r="H146" s="459">
        <f t="shared" si="60"/>
        <v>0</v>
      </c>
      <c r="I146" s="407">
        <f t="shared" si="61"/>
        <v>0</v>
      </c>
      <c r="J146" s="53">
        <f t="shared" si="39"/>
        <v>0</v>
      </c>
      <c r="K146" s="53"/>
      <c r="L146" s="112"/>
      <c r="M146" s="53">
        <f t="shared" si="62"/>
        <v>0</v>
      </c>
      <c r="N146" s="112"/>
      <c r="O146" s="53">
        <f t="shared" si="63"/>
        <v>0</v>
      </c>
      <c r="P146" s="53">
        <f t="shared" si="64"/>
        <v>0</v>
      </c>
      <c r="Q146" s="1"/>
      <c r="R146" s="1"/>
      <c r="S146" s="1"/>
      <c r="T146" s="1"/>
      <c r="U146" s="1"/>
    </row>
    <row r="147" spans="3:21">
      <c r="C147" s="49">
        <f>IF(D94="","-",+C146+1)</f>
        <v>2061</v>
      </c>
      <c r="D147" s="11">
        <f>IF(F146+SUM(E$100:E146)=D$93,F146,D$93-SUM(E$100:E146))</f>
        <v>0</v>
      </c>
      <c r="E147" s="377">
        <f t="shared" si="57"/>
        <v>0</v>
      </c>
      <c r="F147" s="54">
        <f t="shared" si="58"/>
        <v>0</v>
      </c>
      <c r="G147" s="54">
        <f t="shared" si="59"/>
        <v>0</v>
      </c>
      <c r="H147" s="459">
        <f t="shared" si="60"/>
        <v>0</v>
      </c>
      <c r="I147" s="407">
        <f t="shared" si="61"/>
        <v>0</v>
      </c>
      <c r="J147" s="53">
        <f t="shared" si="39"/>
        <v>0</v>
      </c>
      <c r="K147" s="53"/>
      <c r="L147" s="112"/>
      <c r="M147" s="53">
        <f t="shared" si="62"/>
        <v>0</v>
      </c>
      <c r="N147" s="112"/>
      <c r="O147" s="53">
        <f t="shared" si="63"/>
        <v>0</v>
      </c>
      <c r="P147" s="53">
        <f t="shared" si="64"/>
        <v>0</v>
      </c>
      <c r="Q147" s="1"/>
      <c r="R147" s="1"/>
      <c r="S147" s="1"/>
      <c r="T147" s="1"/>
      <c r="U147" s="1"/>
    </row>
    <row r="148" spans="3:21">
      <c r="C148" s="49">
        <f>IF(D94="","-",+C147+1)</f>
        <v>2062</v>
      </c>
      <c r="D148" s="11">
        <f>IF(F147+SUM(E$100:E147)=D$93,F147,D$93-SUM(E$100:E147))</f>
        <v>0</v>
      </c>
      <c r="E148" s="377">
        <f t="shared" si="57"/>
        <v>0</v>
      </c>
      <c r="F148" s="54">
        <f t="shared" si="58"/>
        <v>0</v>
      </c>
      <c r="G148" s="54">
        <f t="shared" si="59"/>
        <v>0</v>
      </c>
      <c r="H148" s="459">
        <f t="shared" si="60"/>
        <v>0</v>
      </c>
      <c r="I148" s="407">
        <f t="shared" si="61"/>
        <v>0</v>
      </c>
      <c r="J148" s="53">
        <f t="shared" si="39"/>
        <v>0</v>
      </c>
      <c r="K148" s="53"/>
      <c r="L148" s="112"/>
      <c r="M148" s="53">
        <f t="shared" si="62"/>
        <v>0</v>
      </c>
      <c r="N148" s="112"/>
      <c r="O148" s="53">
        <f t="shared" si="63"/>
        <v>0</v>
      </c>
      <c r="P148" s="53">
        <f t="shared" si="64"/>
        <v>0</v>
      </c>
      <c r="Q148" s="1"/>
      <c r="R148" s="1"/>
      <c r="S148" s="1"/>
      <c r="T148" s="1"/>
      <c r="U148" s="1"/>
    </row>
    <row r="149" spans="3:21">
      <c r="C149" s="49">
        <f>IF(D94="","-",+C148+1)</f>
        <v>2063</v>
      </c>
      <c r="D149" s="11">
        <f>IF(F148+SUM(E$100:E148)=D$93,F148,D$93-SUM(E$100:E148))</f>
        <v>0</v>
      </c>
      <c r="E149" s="377">
        <f t="shared" si="57"/>
        <v>0</v>
      </c>
      <c r="F149" s="54">
        <f t="shared" si="58"/>
        <v>0</v>
      </c>
      <c r="G149" s="54">
        <f t="shared" si="59"/>
        <v>0</v>
      </c>
      <c r="H149" s="459">
        <f t="shared" si="60"/>
        <v>0</v>
      </c>
      <c r="I149" s="407">
        <f t="shared" si="61"/>
        <v>0</v>
      </c>
      <c r="J149" s="53">
        <f t="shared" si="39"/>
        <v>0</v>
      </c>
      <c r="K149" s="53"/>
      <c r="L149" s="112"/>
      <c r="M149" s="53">
        <f t="shared" si="62"/>
        <v>0</v>
      </c>
      <c r="N149" s="112"/>
      <c r="O149" s="53">
        <f t="shared" si="63"/>
        <v>0</v>
      </c>
      <c r="P149" s="53">
        <f t="shared" si="64"/>
        <v>0</v>
      </c>
      <c r="Q149" s="1"/>
      <c r="R149" s="1"/>
      <c r="S149" s="1"/>
      <c r="T149" s="1"/>
      <c r="U149" s="1"/>
    </row>
    <row r="150" spans="3:21">
      <c r="C150" s="49">
        <f>IF(D94="","-",+C149+1)</f>
        <v>2064</v>
      </c>
      <c r="D150" s="11">
        <f>IF(F149+SUM(E$100:E149)=D$93,F149,D$93-SUM(E$100:E149))</f>
        <v>0</v>
      </c>
      <c r="E150" s="377">
        <f t="shared" si="57"/>
        <v>0</v>
      </c>
      <c r="F150" s="54">
        <f t="shared" si="58"/>
        <v>0</v>
      </c>
      <c r="G150" s="54">
        <f t="shared" si="59"/>
        <v>0</v>
      </c>
      <c r="H150" s="459">
        <f t="shared" si="60"/>
        <v>0</v>
      </c>
      <c r="I150" s="407">
        <f t="shared" si="61"/>
        <v>0</v>
      </c>
      <c r="J150" s="53">
        <f t="shared" si="39"/>
        <v>0</v>
      </c>
      <c r="K150" s="53"/>
      <c r="L150" s="112"/>
      <c r="M150" s="53">
        <f t="shared" si="62"/>
        <v>0</v>
      </c>
      <c r="N150" s="112"/>
      <c r="O150" s="53">
        <f t="shared" si="63"/>
        <v>0</v>
      </c>
      <c r="P150" s="53">
        <f t="shared" si="64"/>
        <v>0</v>
      </c>
      <c r="Q150" s="1"/>
      <c r="R150" s="1"/>
      <c r="S150" s="1"/>
      <c r="T150" s="1"/>
      <c r="U150" s="1"/>
    </row>
    <row r="151" spans="3:21">
      <c r="C151" s="49">
        <f>IF(D94="","-",+C150+1)</f>
        <v>2065</v>
      </c>
      <c r="D151" s="11">
        <f>IF(F150+SUM(E$100:E150)=D$93,F150,D$93-SUM(E$100:E150))</f>
        <v>0</v>
      </c>
      <c r="E151" s="377">
        <f t="shared" si="57"/>
        <v>0</v>
      </c>
      <c r="F151" s="54">
        <f t="shared" si="58"/>
        <v>0</v>
      </c>
      <c r="G151" s="54">
        <f t="shared" si="59"/>
        <v>0</v>
      </c>
      <c r="H151" s="459">
        <f t="shared" si="60"/>
        <v>0</v>
      </c>
      <c r="I151" s="407">
        <f t="shared" si="61"/>
        <v>0</v>
      </c>
      <c r="J151" s="53">
        <f t="shared" si="39"/>
        <v>0</v>
      </c>
      <c r="K151" s="53"/>
      <c r="L151" s="112"/>
      <c r="M151" s="53">
        <f t="shared" si="62"/>
        <v>0</v>
      </c>
      <c r="N151" s="112"/>
      <c r="O151" s="53">
        <f t="shared" si="63"/>
        <v>0</v>
      </c>
      <c r="P151" s="53">
        <f t="shared" si="64"/>
        <v>0</v>
      </c>
      <c r="Q151" s="1"/>
      <c r="R151" s="1"/>
      <c r="S151" s="1"/>
      <c r="T151" s="1"/>
      <c r="U151" s="1"/>
    </row>
    <row r="152" spans="3:21">
      <c r="C152" s="49">
        <f>IF(D94="","-",+C151+1)</f>
        <v>2066</v>
      </c>
      <c r="D152" s="11">
        <f>IF(F151+SUM(E$100:E151)=D$93,F151,D$93-SUM(E$100:E151))</f>
        <v>0</v>
      </c>
      <c r="E152" s="377">
        <f t="shared" si="57"/>
        <v>0</v>
      </c>
      <c r="F152" s="54">
        <f t="shared" si="58"/>
        <v>0</v>
      </c>
      <c r="G152" s="54">
        <f t="shared" si="59"/>
        <v>0</v>
      </c>
      <c r="H152" s="459">
        <f t="shared" si="60"/>
        <v>0</v>
      </c>
      <c r="I152" s="407">
        <f t="shared" si="61"/>
        <v>0</v>
      </c>
      <c r="J152" s="53">
        <f t="shared" si="39"/>
        <v>0</v>
      </c>
      <c r="K152" s="53"/>
      <c r="L152" s="112"/>
      <c r="M152" s="53">
        <f t="shared" si="62"/>
        <v>0</v>
      </c>
      <c r="N152" s="112"/>
      <c r="O152" s="53">
        <f t="shared" si="63"/>
        <v>0</v>
      </c>
      <c r="P152" s="53">
        <f t="shared" si="64"/>
        <v>0</v>
      </c>
      <c r="Q152" s="1"/>
      <c r="R152" s="1"/>
      <c r="S152" s="1"/>
      <c r="T152" s="1"/>
      <c r="U152" s="1"/>
    </row>
    <row r="153" spans="3:21">
      <c r="C153" s="49">
        <f>IF(D94="","-",+C152+1)</f>
        <v>2067</v>
      </c>
      <c r="D153" s="11">
        <f>IF(F152+SUM(E$100:E152)=D$93,F152,D$93-SUM(E$100:E152))</f>
        <v>0</v>
      </c>
      <c r="E153" s="377">
        <f t="shared" si="57"/>
        <v>0</v>
      </c>
      <c r="F153" s="54">
        <f t="shared" si="58"/>
        <v>0</v>
      </c>
      <c r="G153" s="54">
        <f t="shared" si="59"/>
        <v>0</v>
      </c>
      <c r="H153" s="459">
        <f t="shared" si="60"/>
        <v>0</v>
      </c>
      <c r="I153" s="407">
        <f t="shared" si="61"/>
        <v>0</v>
      </c>
      <c r="J153" s="53">
        <f t="shared" si="39"/>
        <v>0</v>
      </c>
      <c r="K153" s="53"/>
      <c r="L153" s="112"/>
      <c r="M153" s="53">
        <f t="shared" si="62"/>
        <v>0</v>
      </c>
      <c r="N153" s="112"/>
      <c r="O153" s="53">
        <f t="shared" si="63"/>
        <v>0</v>
      </c>
      <c r="P153" s="53">
        <f t="shared" si="64"/>
        <v>0</v>
      </c>
      <c r="Q153" s="1"/>
      <c r="R153" s="1"/>
      <c r="S153" s="1"/>
      <c r="T153" s="1"/>
      <c r="U153" s="1"/>
    </row>
    <row r="154" spans="3:21">
      <c r="C154" s="49">
        <f>IF(D94="","-",+C153+1)</f>
        <v>2068</v>
      </c>
      <c r="D154" s="11">
        <f>IF(F153+SUM(E$100:E153)=D$93,F153,D$93-SUM(E$100:E153))</f>
        <v>0</v>
      </c>
      <c r="E154" s="377">
        <f t="shared" si="57"/>
        <v>0</v>
      </c>
      <c r="F154" s="54">
        <f t="shared" si="58"/>
        <v>0</v>
      </c>
      <c r="G154" s="54">
        <f t="shared" si="59"/>
        <v>0</v>
      </c>
      <c r="H154" s="459">
        <f t="shared" si="60"/>
        <v>0</v>
      </c>
      <c r="I154" s="407">
        <f t="shared" si="61"/>
        <v>0</v>
      </c>
      <c r="J154" s="53">
        <f t="shared" si="39"/>
        <v>0</v>
      </c>
      <c r="K154" s="53"/>
      <c r="L154" s="112"/>
      <c r="M154" s="53">
        <f t="shared" si="62"/>
        <v>0</v>
      </c>
      <c r="N154" s="112"/>
      <c r="O154" s="53">
        <f t="shared" si="63"/>
        <v>0</v>
      </c>
      <c r="P154" s="53">
        <f t="shared" si="64"/>
        <v>0</v>
      </c>
      <c r="Q154" s="1"/>
      <c r="R154" s="1"/>
      <c r="S154" s="1"/>
      <c r="T154" s="1"/>
      <c r="U154" s="1"/>
    </row>
    <row r="155" spans="3:21" ht="13.5" thickBot="1">
      <c r="C155" s="58">
        <f>IF(D94="","-",+C154+1)</f>
        <v>2069</v>
      </c>
      <c r="D155" s="439">
        <f>IF(F154+SUM(E$100:E154)=D$93,F154,D$93-SUM(E$100:E154))</f>
        <v>0</v>
      </c>
      <c r="E155" s="389">
        <f t="shared" si="57"/>
        <v>0</v>
      </c>
      <c r="F155" s="59">
        <f t="shared" si="58"/>
        <v>0</v>
      </c>
      <c r="G155" s="59">
        <f t="shared" si="59"/>
        <v>0</v>
      </c>
      <c r="H155" s="459">
        <f t="shared" si="60"/>
        <v>0</v>
      </c>
      <c r="I155" s="408">
        <f t="shared" si="61"/>
        <v>0</v>
      </c>
      <c r="J155" s="63">
        <f t="shared" si="39"/>
        <v>0</v>
      </c>
      <c r="K155" s="53"/>
      <c r="L155" s="113"/>
      <c r="M155" s="63">
        <f t="shared" si="62"/>
        <v>0</v>
      </c>
      <c r="N155" s="113"/>
      <c r="O155" s="63">
        <f t="shared" si="63"/>
        <v>0</v>
      </c>
      <c r="P155" s="63">
        <f t="shared" si="64"/>
        <v>0</v>
      </c>
      <c r="Q155" s="1"/>
      <c r="R155" s="1"/>
      <c r="S155" s="1"/>
      <c r="T155" s="1"/>
      <c r="U155" s="1"/>
    </row>
    <row r="156" spans="3:21">
      <c r="C156" s="11" t="s">
        <v>75</v>
      </c>
      <c r="D156" s="242"/>
      <c r="E156" s="242">
        <f>SUM(E100:E155)</f>
        <v>1864625</v>
      </c>
      <c r="F156" s="242"/>
      <c r="G156" s="242"/>
      <c r="H156" s="242">
        <f>SUM(H100:H155)</f>
        <v>5111782.35660908</v>
      </c>
      <c r="I156" s="242">
        <f>SUM(I100:I155)</f>
        <v>5111782.35660908</v>
      </c>
      <c r="J156" s="242">
        <f>SUM(J100:J155)</f>
        <v>0</v>
      </c>
      <c r="K156" s="242"/>
      <c r="L156" s="242"/>
      <c r="M156" s="242"/>
      <c r="N156" s="242"/>
      <c r="O156" s="242"/>
      <c r="P156" s="1"/>
      <c r="Q156" s="1"/>
      <c r="R156" s="1"/>
      <c r="S156" s="1"/>
      <c r="T156" s="1"/>
      <c r="U156" s="1"/>
    </row>
    <row r="157" spans="3:21">
      <c r="C157" t="s">
        <v>90</v>
      </c>
      <c r="D157" s="2"/>
      <c r="E157" s="1"/>
      <c r="F157" s="1"/>
      <c r="G157" s="1"/>
      <c r="H157" s="1"/>
      <c r="I157" s="260"/>
      <c r="J157" s="260"/>
      <c r="K157" s="242"/>
      <c r="L157" s="260"/>
      <c r="M157" s="260"/>
      <c r="N157" s="260"/>
      <c r="O157" s="260"/>
      <c r="P157" s="1"/>
      <c r="Q157" s="1"/>
      <c r="R157" s="1"/>
      <c r="S157" s="1"/>
      <c r="T157" s="1"/>
      <c r="U157" s="1"/>
    </row>
    <row r="158" spans="3:21">
      <c r="C158" s="83"/>
      <c r="D158" s="2"/>
      <c r="E158" s="1"/>
      <c r="F158" s="1"/>
      <c r="G158" s="1"/>
      <c r="H158" s="1"/>
      <c r="I158" s="260"/>
      <c r="J158" s="260"/>
      <c r="K158" s="242"/>
      <c r="L158" s="260"/>
      <c r="M158" s="260"/>
      <c r="N158" s="260"/>
      <c r="O158" s="260"/>
      <c r="P158" s="1"/>
      <c r="Q158" s="1"/>
      <c r="R158" s="1"/>
      <c r="S158" s="1"/>
      <c r="T158" s="1"/>
      <c r="U158" s="1"/>
    </row>
    <row r="159" spans="3:21">
      <c r="C159" s="97" t="s">
        <v>130</v>
      </c>
      <c r="D159" s="2"/>
      <c r="E159" s="1"/>
      <c r="F159" s="1"/>
      <c r="G159" s="1"/>
      <c r="H159" s="1"/>
      <c r="I159" s="260"/>
      <c r="J159" s="260"/>
      <c r="K159" s="242"/>
      <c r="L159" s="260"/>
      <c r="M159" s="260"/>
      <c r="N159" s="260"/>
      <c r="O159" s="260"/>
      <c r="P159" s="1"/>
      <c r="Q159" s="1"/>
      <c r="R159" s="1"/>
      <c r="S159" s="1"/>
      <c r="T159" s="1"/>
      <c r="U159" s="1"/>
    </row>
    <row r="160" spans="3:21">
      <c r="C160" s="25" t="s">
        <v>76</v>
      </c>
      <c r="D160" s="11"/>
      <c r="E160" s="11"/>
      <c r="F160" s="11"/>
      <c r="G160" s="11"/>
      <c r="H160" s="242"/>
      <c r="I160" s="242"/>
      <c r="J160" s="64"/>
      <c r="K160" s="64"/>
      <c r="L160" s="64"/>
      <c r="M160" s="64"/>
      <c r="N160" s="64"/>
      <c r="O160" s="64"/>
      <c r="P160" s="1"/>
      <c r="Q160" s="1"/>
      <c r="R160" s="1"/>
      <c r="S160" s="1"/>
      <c r="T160" s="1"/>
      <c r="U160" s="1"/>
    </row>
    <row r="161" spans="3:21">
      <c r="C161" s="84" t="s">
        <v>77</v>
      </c>
      <c r="D161" s="11"/>
      <c r="E161" s="11"/>
      <c r="F161" s="11"/>
      <c r="G161" s="11"/>
      <c r="H161" s="242"/>
      <c r="I161" s="242"/>
      <c r="J161" s="64"/>
      <c r="K161" s="64"/>
      <c r="L161" s="64"/>
      <c r="M161" s="64"/>
      <c r="N161" s="64"/>
      <c r="O161" s="64"/>
      <c r="P161" s="1"/>
      <c r="Q161" s="1"/>
      <c r="R161" s="1"/>
      <c r="S161" s="1"/>
      <c r="T161" s="1"/>
      <c r="U161" s="1"/>
    </row>
    <row r="162" spans="3:21">
      <c r="C162" s="84"/>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39" priority="1" stopIfTrue="1" operator="equal">
      <formula>$I$10</formula>
    </cfRule>
  </conditionalFormatting>
  <conditionalFormatting sqref="C100:C155">
    <cfRule type="cellIs" dxfId="38"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2"/>
  <dimension ref="A1:U163"/>
  <sheetViews>
    <sheetView topLeftCell="A66" zoomScaleNormal="100" zoomScaleSheetLayoutView="78" workbookViewId="0">
      <selection activeCell="D93" sqref="D93"/>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9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991533.62901091878</v>
      </c>
      <c r="P5" s="1"/>
      <c r="R5" s="1"/>
      <c r="S5" s="1"/>
      <c r="T5" s="1"/>
      <c r="U5" s="1"/>
    </row>
    <row r="6" spans="1:21" ht="15.75">
      <c r="C6" s="6"/>
      <c r="D6" s="2"/>
      <c r="E6" s="1"/>
      <c r="F6" s="1"/>
      <c r="G6" s="1"/>
      <c r="H6" s="351"/>
      <c r="I6" s="351"/>
      <c r="J6" s="352"/>
      <c r="K6" s="22" t="s">
        <v>243</v>
      </c>
      <c r="L6" s="353"/>
      <c r="M6" s="1"/>
      <c r="N6" s="354">
        <f>VLOOKUP(I10,C17:I73,6)</f>
        <v>991533.62901091878</v>
      </c>
      <c r="O6" s="1"/>
      <c r="P6" s="1"/>
      <c r="R6" s="1"/>
      <c r="S6" s="1"/>
      <c r="T6" s="1"/>
      <c r="U6" s="1"/>
    </row>
    <row r="7" spans="1:21" ht="13.5" thickBot="1">
      <c r="C7" s="25" t="s">
        <v>46</v>
      </c>
      <c r="D7" s="96" t="s">
        <v>220</v>
      </c>
      <c r="E7" s="1"/>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219</v>
      </c>
      <c r="E9" s="31" t="s">
        <v>310</v>
      </c>
      <c r="F9" s="526">
        <v>879</v>
      </c>
      <c r="G9" s="31"/>
      <c r="H9" s="31"/>
      <c r="I9" s="32"/>
      <c r="J9" s="33"/>
      <c r="P9" s="1"/>
      <c r="R9" s="1"/>
      <c r="S9" s="1"/>
      <c r="T9" s="1"/>
      <c r="U9" s="1"/>
    </row>
    <row r="10" spans="1:21">
      <c r="C10" s="34" t="s">
        <v>49</v>
      </c>
      <c r="D10" s="358">
        <v>8535104</v>
      </c>
      <c r="E10" s="1" t="s">
        <v>50</v>
      </c>
      <c r="G10" s="2"/>
      <c r="H10" s="2"/>
      <c r="I10" s="36">
        <f>+'OKT.WS.F.BPU.ATRR.Projected'!R100</f>
        <v>2025</v>
      </c>
      <c r="J10" s="33"/>
      <c r="K10" s="242" t="s">
        <v>51</v>
      </c>
      <c r="O10" s="1"/>
      <c r="P10" s="1"/>
      <c r="R10" s="1"/>
      <c r="S10" s="1"/>
      <c r="T10" s="1"/>
      <c r="U10" s="1"/>
    </row>
    <row r="11" spans="1:21">
      <c r="C11" s="34" t="s">
        <v>52</v>
      </c>
      <c r="D11" s="37">
        <v>2015</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6</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284503.46666666667</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73" si="0">IF(D17=F16,"","IU")</f>
        <v>IU</v>
      </c>
      <c r="C17" s="49">
        <f>IF(D11= "","-",D11)</f>
        <v>2015</v>
      </c>
      <c r="D17" s="433">
        <v>7400000</v>
      </c>
      <c r="E17" s="440">
        <v>74674.92363561083</v>
      </c>
      <c r="F17" s="433">
        <v>7325325.0763643896</v>
      </c>
      <c r="G17" s="440">
        <v>578000.14938532724</v>
      </c>
      <c r="H17" s="438">
        <v>578000.14938532724</v>
      </c>
      <c r="I17" s="51">
        <v>0</v>
      </c>
      <c r="J17" s="51"/>
      <c r="K17" s="376">
        <f t="shared" ref="K17:K22" si="1">G17</f>
        <v>578000.14938532724</v>
      </c>
      <c r="L17" s="53">
        <f t="shared" ref="L17:L22" si="2">IF(K17&lt;&gt;0,+G17-K17,0)</f>
        <v>0</v>
      </c>
      <c r="M17" s="376">
        <f t="shared" ref="M17:M22" si="3">H17</f>
        <v>578000.14938532724</v>
      </c>
      <c r="N17" s="53">
        <f>IF(M17&lt;&gt;0,+H17-M17,0)</f>
        <v>0</v>
      </c>
      <c r="O17" s="53">
        <f>+N17-L17</f>
        <v>0</v>
      </c>
      <c r="P17" s="1"/>
      <c r="R17" s="1"/>
      <c r="S17" s="1"/>
      <c r="T17" s="1"/>
      <c r="U17" s="1"/>
    </row>
    <row r="18" spans="2:21">
      <c r="B18" t="str">
        <f t="shared" si="0"/>
        <v>IU</v>
      </c>
      <c r="C18" s="49">
        <f>IF(D11="","-",+C17+1)</f>
        <v>2016</v>
      </c>
      <c r="D18" s="438">
        <v>8381815.0763643896</v>
      </c>
      <c r="E18" s="438">
        <v>175721.24624335562</v>
      </c>
      <c r="F18" s="438">
        <v>8206093.8301210338</v>
      </c>
      <c r="G18" s="438">
        <v>1060997.6854975934</v>
      </c>
      <c r="H18" s="438">
        <v>1060997.6854975934</v>
      </c>
      <c r="I18" s="51">
        <f>H18-G18</f>
        <v>0</v>
      </c>
      <c r="J18" s="51"/>
      <c r="K18" s="376">
        <f t="shared" si="1"/>
        <v>1060997.6854975934</v>
      </c>
      <c r="L18" s="53">
        <f t="shared" si="2"/>
        <v>0</v>
      </c>
      <c r="M18" s="376">
        <f t="shared" si="3"/>
        <v>1060997.6854975934</v>
      </c>
      <c r="N18" s="53">
        <f t="shared" ref="N18:N73" si="4">IF(M18&lt;&gt;0,+H18-M18,0)</f>
        <v>0</v>
      </c>
      <c r="O18" s="53">
        <f t="shared" ref="O18:O73" si="5">+N18-L18</f>
        <v>0</v>
      </c>
      <c r="P18" s="1"/>
      <c r="R18" s="1"/>
      <c r="S18" s="1"/>
      <c r="T18" s="1"/>
      <c r="U18" s="1"/>
    </row>
    <row r="19" spans="2:21">
      <c r="B19" t="str">
        <f t="shared" si="0"/>
        <v>IU</v>
      </c>
      <c r="C19" s="49">
        <f>IF(D11="","-",+C18+1)</f>
        <v>2017</v>
      </c>
      <c r="D19" s="438">
        <v>8284707.8301210338</v>
      </c>
      <c r="E19" s="438">
        <v>167817.04229981007</v>
      </c>
      <c r="F19" s="438">
        <v>8116890.787821224</v>
      </c>
      <c r="G19" s="438">
        <v>1069412.6916216947</v>
      </c>
      <c r="H19" s="438">
        <v>1069412.6916216947</v>
      </c>
      <c r="I19" s="51">
        <f t="shared" ref="I19:I73" si="6">H19-G19</f>
        <v>0</v>
      </c>
      <c r="J19" s="51"/>
      <c r="K19" s="376">
        <f t="shared" si="1"/>
        <v>1069412.6916216947</v>
      </c>
      <c r="L19" s="53">
        <f t="shared" si="2"/>
        <v>0</v>
      </c>
      <c r="M19" s="376">
        <f t="shared" si="3"/>
        <v>1069412.6916216947</v>
      </c>
      <c r="N19" s="53">
        <f>IF(M19&lt;&gt;0,+H19-M19,0)</f>
        <v>0</v>
      </c>
      <c r="O19" s="53">
        <f>+N19-L19</f>
        <v>0</v>
      </c>
      <c r="P19" s="1"/>
      <c r="R19" s="1"/>
      <c r="S19" s="1"/>
      <c r="T19" s="1"/>
      <c r="U19" s="1"/>
    </row>
    <row r="20" spans="2:21">
      <c r="B20" t="str">
        <f t="shared" si="0"/>
        <v/>
      </c>
      <c r="C20" s="49">
        <f>IF(D11="","-",+C19+1)</f>
        <v>2018</v>
      </c>
      <c r="D20" s="438">
        <v>8116890.787821224</v>
      </c>
      <c r="E20" s="438">
        <v>209319.85738284502</v>
      </c>
      <c r="F20" s="438">
        <v>7907570.9304383788</v>
      </c>
      <c r="G20" s="438">
        <v>1023551.998916439</v>
      </c>
      <c r="H20" s="438">
        <v>1023551.998916439</v>
      </c>
      <c r="I20" s="51">
        <v>0</v>
      </c>
      <c r="J20" s="51"/>
      <c r="K20" s="376">
        <f t="shared" si="1"/>
        <v>1023551.998916439</v>
      </c>
      <c r="L20" s="53">
        <f t="shared" si="2"/>
        <v>0</v>
      </c>
      <c r="M20" s="376">
        <f t="shared" si="3"/>
        <v>1023551.998916439</v>
      </c>
      <c r="N20" s="53">
        <f>IF(M20&lt;&gt;0,+H20-M20,0)</f>
        <v>0</v>
      </c>
      <c r="O20" s="53">
        <f>+N20-L20</f>
        <v>0</v>
      </c>
      <c r="P20" s="1"/>
      <c r="R20" s="1"/>
      <c r="S20" s="1"/>
      <c r="T20" s="1"/>
      <c r="U20" s="1"/>
    </row>
    <row r="21" spans="2:21">
      <c r="B21" t="str">
        <f t="shared" si="0"/>
        <v/>
      </c>
      <c r="C21" s="49">
        <f>IF(D11="","-",+C20+1)</f>
        <v>2019</v>
      </c>
      <c r="D21" s="438">
        <v>7907570.9304383788</v>
      </c>
      <c r="E21" s="438">
        <v>253141.34300077427</v>
      </c>
      <c r="F21" s="438">
        <v>7654429.5874376046</v>
      </c>
      <c r="G21" s="438">
        <v>1061867.1098044377</v>
      </c>
      <c r="H21" s="438">
        <v>1061867.1098044377</v>
      </c>
      <c r="I21" s="51">
        <f t="shared" si="6"/>
        <v>0</v>
      </c>
      <c r="J21" s="51"/>
      <c r="K21" s="376">
        <f t="shared" si="1"/>
        <v>1061867.1098044377</v>
      </c>
      <c r="L21" s="53">
        <f t="shared" si="2"/>
        <v>0</v>
      </c>
      <c r="M21" s="376">
        <f t="shared" si="3"/>
        <v>1061867.1098044377</v>
      </c>
      <c r="N21" s="53">
        <f>IF(M21&lt;&gt;0,+H21-M21,0)</f>
        <v>0</v>
      </c>
      <c r="O21" s="53">
        <f>+N21-L21</f>
        <v>0</v>
      </c>
      <c r="P21" s="1"/>
      <c r="R21" s="1"/>
      <c r="S21" s="1"/>
      <c r="T21" s="1"/>
      <c r="U21" s="1"/>
    </row>
    <row r="22" spans="2:21">
      <c r="B22" t="str">
        <f t="shared" si="0"/>
        <v>IU</v>
      </c>
      <c r="C22" s="49">
        <f>IF(D11="","-",+C21+1)</f>
        <v>2020</v>
      </c>
      <c r="D22" s="438">
        <v>7698251.0730555337</v>
      </c>
      <c r="E22" s="438">
        <v>249923.04161572127</v>
      </c>
      <c r="F22" s="438">
        <v>7448328.0314398129</v>
      </c>
      <c r="G22" s="438">
        <v>1044606.9924692181</v>
      </c>
      <c r="H22" s="438">
        <v>1044606.9924692181</v>
      </c>
      <c r="I22" s="51">
        <f t="shared" si="6"/>
        <v>0</v>
      </c>
      <c r="J22" s="51"/>
      <c r="K22" s="376">
        <f t="shared" si="1"/>
        <v>1044606.9924692181</v>
      </c>
      <c r="L22" s="53">
        <f t="shared" si="2"/>
        <v>0</v>
      </c>
      <c r="M22" s="376">
        <f t="shared" si="3"/>
        <v>1044606.9924692181</v>
      </c>
      <c r="N22" s="53">
        <f t="shared" si="4"/>
        <v>0</v>
      </c>
      <c r="O22" s="53">
        <f t="shared" si="5"/>
        <v>0</v>
      </c>
      <c r="P22" s="1"/>
      <c r="R22" s="1"/>
      <c r="S22" s="1"/>
      <c r="T22" s="1"/>
      <c r="U22" s="1"/>
    </row>
    <row r="23" spans="2:21">
      <c r="B23" t="str">
        <f t="shared" si="0"/>
        <v>IU</v>
      </c>
      <c r="C23" s="49">
        <f>IF(D11="","-",+C22+1)</f>
        <v>2021</v>
      </c>
      <c r="D23" s="438">
        <v>7404506.5458218828</v>
      </c>
      <c r="E23" s="438">
        <v>275325.93548387097</v>
      </c>
      <c r="F23" s="438">
        <v>7129180.6103380118</v>
      </c>
      <c r="G23" s="438">
        <v>1061489.8962062567</v>
      </c>
      <c r="H23" s="438">
        <v>1061489.8962062567</v>
      </c>
      <c r="I23" s="51">
        <f t="shared" si="6"/>
        <v>0</v>
      </c>
      <c r="J23" s="51"/>
      <c r="K23" s="376">
        <f t="shared" ref="K23" si="7">G23</f>
        <v>1061489.8962062567</v>
      </c>
      <c r="L23" s="53">
        <f t="shared" ref="L23" si="8">IF(K23&lt;&gt;0,+G23-K23,0)</f>
        <v>0</v>
      </c>
      <c r="M23" s="376">
        <f t="shared" ref="M23" si="9">H23</f>
        <v>1061489.8962062567</v>
      </c>
      <c r="N23" s="53">
        <f t="shared" si="4"/>
        <v>0</v>
      </c>
      <c r="O23" s="53">
        <f t="shared" si="5"/>
        <v>0</v>
      </c>
      <c r="P23" s="1"/>
      <c r="R23" s="1"/>
      <c r="S23" s="1"/>
      <c r="T23" s="1"/>
      <c r="U23" s="1"/>
    </row>
    <row r="24" spans="2:21">
      <c r="B24" t="str">
        <f t="shared" si="0"/>
        <v/>
      </c>
      <c r="C24" s="49">
        <f>IF(D11="","-",+C23+1)</f>
        <v>2022</v>
      </c>
      <c r="D24" s="438">
        <v>7129180.6103380118</v>
      </c>
      <c r="E24" s="438">
        <v>258639.51515151514</v>
      </c>
      <c r="F24" s="438">
        <v>6870541.0951864962</v>
      </c>
      <c r="G24" s="438">
        <v>1061934.9640688223</v>
      </c>
      <c r="H24" s="438">
        <v>1061934.9640688223</v>
      </c>
      <c r="I24" s="51">
        <f t="shared" si="6"/>
        <v>0</v>
      </c>
      <c r="J24" s="51"/>
      <c r="K24" s="376">
        <f t="shared" ref="K24" si="10">G24</f>
        <v>1061934.9640688223</v>
      </c>
      <c r="L24" s="53">
        <f t="shared" ref="L24" si="11">IF(K24&lt;&gt;0,+G24-K24,0)</f>
        <v>0</v>
      </c>
      <c r="M24" s="376">
        <f t="shared" ref="M24" si="12">H24</f>
        <v>1061934.9640688223</v>
      </c>
      <c r="N24" s="53">
        <f t="shared" si="4"/>
        <v>0</v>
      </c>
      <c r="O24" s="53">
        <f t="shared" si="5"/>
        <v>0</v>
      </c>
      <c r="P24" s="1"/>
      <c r="R24" s="1"/>
      <c r="S24" s="1"/>
      <c r="T24" s="1"/>
      <c r="U24" s="1"/>
    </row>
    <row r="25" spans="2:21">
      <c r="B25" t="str">
        <f t="shared" si="0"/>
        <v/>
      </c>
      <c r="C25" s="49">
        <f>IF(D11="","-",+C24+1)</f>
        <v>2023</v>
      </c>
      <c r="D25" s="438">
        <v>6870541.0951864962</v>
      </c>
      <c r="E25" s="438">
        <v>275325.93548387097</v>
      </c>
      <c r="F25" s="438">
        <v>6595215.1597026251</v>
      </c>
      <c r="G25" s="438">
        <v>1036362.3728391449</v>
      </c>
      <c r="H25" s="438">
        <v>1036362.3728391449</v>
      </c>
      <c r="I25" s="51">
        <f t="shared" si="6"/>
        <v>0</v>
      </c>
      <c r="J25" s="51"/>
      <c r="K25" s="376">
        <f t="shared" ref="K25" si="13">G25</f>
        <v>1036362.3728391449</v>
      </c>
      <c r="L25" s="53">
        <f t="shared" ref="L25" si="14">IF(K25&lt;&gt;0,+G25-K25,0)</f>
        <v>0</v>
      </c>
      <c r="M25" s="376">
        <f t="shared" ref="M25" si="15">H25</f>
        <v>1036362.3728391449</v>
      </c>
      <c r="N25" s="53">
        <f t="shared" si="4"/>
        <v>0</v>
      </c>
      <c r="O25" s="53">
        <f t="shared" si="5"/>
        <v>0</v>
      </c>
      <c r="P25" s="1"/>
      <c r="R25" s="1"/>
      <c r="S25" s="1"/>
      <c r="T25" s="1"/>
      <c r="U25" s="1"/>
    </row>
    <row r="26" spans="2:21">
      <c r="B26" t="str">
        <f t="shared" si="0"/>
        <v/>
      </c>
      <c r="C26" s="49">
        <f>IF(D11="","-",+C25+1)</f>
        <v>2024</v>
      </c>
      <c r="D26" s="438">
        <v>6595215.1597026251</v>
      </c>
      <c r="E26" s="438">
        <v>275325.93548387097</v>
      </c>
      <c r="F26" s="438">
        <v>6319889.2242187541</v>
      </c>
      <c r="G26" s="438">
        <v>1011045.4028817296</v>
      </c>
      <c r="H26" s="438">
        <v>1011045.4028817296</v>
      </c>
      <c r="I26" s="51">
        <f t="shared" si="6"/>
        <v>0</v>
      </c>
      <c r="J26" s="51"/>
      <c r="K26" s="376">
        <f t="shared" ref="K26" si="16">G26</f>
        <v>1011045.4028817296</v>
      </c>
      <c r="L26" s="53">
        <f t="shared" ref="L26" si="17">IF(K26&lt;&gt;0,+G26-K26,0)</f>
        <v>0</v>
      </c>
      <c r="M26" s="376">
        <f t="shared" ref="M26" si="18">H26</f>
        <v>1011045.4028817296</v>
      </c>
      <c r="N26" s="53">
        <f t="shared" ref="N26" si="19">IF(M26&lt;&gt;0,+H26-M26,0)</f>
        <v>0</v>
      </c>
      <c r="O26" s="53">
        <f t="shared" ref="O26" si="20">+N26-L26</f>
        <v>0</v>
      </c>
      <c r="P26" s="1"/>
      <c r="R26" s="1"/>
      <c r="S26" s="1"/>
      <c r="T26" s="1"/>
      <c r="U26" s="1"/>
    </row>
    <row r="27" spans="2:21">
      <c r="B27" t="str">
        <f t="shared" si="0"/>
        <v/>
      </c>
      <c r="C27" s="49">
        <f>IF(D11="","-",+C26+1)</f>
        <v>2025</v>
      </c>
      <c r="D27" s="438">
        <v>6319889.2242187541</v>
      </c>
      <c r="E27" s="438">
        <v>284503.46666666667</v>
      </c>
      <c r="F27" s="438">
        <v>6035385.7575520873</v>
      </c>
      <c r="G27" s="438">
        <v>991533.62901091878</v>
      </c>
      <c r="H27" s="438">
        <v>991533.62901091878</v>
      </c>
      <c r="I27" s="51">
        <f t="shared" si="6"/>
        <v>0</v>
      </c>
      <c r="J27" s="51"/>
      <c r="K27" s="376">
        <f t="shared" ref="K27" si="21">G27</f>
        <v>991533.62901091878</v>
      </c>
      <c r="L27" s="53">
        <f t="shared" ref="L27" si="22">IF(K27&lt;&gt;0,+G27-K27,0)</f>
        <v>0</v>
      </c>
      <c r="M27" s="376">
        <f t="shared" ref="M27" si="23">H27</f>
        <v>991533.62901091878</v>
      </c>
      <c r="N27" s="53">
        <f t="shared" ref="N27" si="24">IF(M27&lt;&gt;0,+H27-M27,0)</f>
        <v>0</v>
      </c>
      <c r="O27" s="53">
        <f t="shared" ref="O27" si="25">+N27-L27</f>
        <v>0</v>
      </c>
      <c r="P27" s="1"/>
      <c r="R27" s="1"/>
      <c r="S27" s="1"/>
      <c r="T27" s="1"/>
      <c r="U27" s="1"/>
    </row>
    <row r="28" spans="2:21">
      <c r="B28" t="str">
        <f t="shared" si="0"/>
        <v/>
      </c>
      <c r="C28" s="49">
        <f>IF(D11="","-",+C27+1)</f>
        <v>2026</v>
      </c>
      <c r="D28" s="54">
        <f>IF(F27+SUM(E$17:E27)=D$10,F27,D$10-SUM(E$17:E27))</f>
        <v>6035385.7575520873</v>
      </c>
      <c r="E28" s="377">
        <f t="shared" ref="E28:E73" si="26">IF(+$I$14&lt;F27,$I$14,D28)</f>
        <v>284503.46666666667</v>
      </c>
      <c r="F28" s="54">
        <f t="shared" ref="F28:F73" si="27">+D28-E28</f>
        <v>5750882.2908854205</v>
      </c>
      <c r="G28" s="378">
        <f t="shared" ref="G28:G73" si="28">(D28+F28)/2*I$12+E28</f>
        <v>958972.22790546075</v>
      </c>
      <c r="H28" s="359">
        <f t="shared" ref="H28:H73" si="29">+(D28+F28)/2*I$13+E28</f>
        <v>958972.22790546075</v>
      </c>
      <c r="I28" s="51">
        <f t="shared" si="6"/>
        <v>0</v>
      </c>
      <c r="J28" s="51"/>
      <c r="K28" s="112"/>
      <c r="L28" s="53">
        <f t="shared" ref="L28:L73" si="30">IF(K28&lt;&gt;0,+G28-K28,0)</f>
        <v>0</v>
      </c>
      <c r="M28" s="112"/>
      <c r="N28" s="53">
        <f t="shared" si="4"/>
        <v>0</v>
      </c>
      <c r="O28" s="53">
        <f t="shared" si="5"/>
        <v>0</v>
      </c>
      <c r="P28" s="1"/>
      <c r="R28" s="1"/>
      <c r="S28" s="1"/>
      <c r="T28" s="1"/>
      <c r="U28" s="1"/>
    </row>
    <row r="29" spans="2:21">
      <c r="B29" t="str">
        <f t="shared" si="0"/>
        <v/>
      </c>
      <c r="C29" s="49">
        <f>IF(D11="","-",+C28+1)</f>
        <v>2027</v>
      </c>
      <c r="D29" s="54">
        <f>IF(F28+SUM(E$17:E28)=D$10,F28,D$10-SUM(E$17:E28))</f>
        <v>5750882.2908854205</v>
      </c>
      <c r="E29" s="377">
        <f t="shared" si="26"/>
        <v>284503.46666666667</v>
      </c>
      <c r="F29" s="54">
        <f t="shared" si="27"/>
        <v>5466378.8242187537</v>
      </c>
      <c r="G29" s="378">
        <f t="shared" si="28"/>
        <v>926410.8268000026</v>
      </c>
      <c r="H29" s="359">
        <f t="shared" si="29"/>
        <v>926410.8268000026</v>
      </c>
      <c r="I29" s="51">
        <f t="shared" si="6"/>
        <v>0</v>
      </c>
      <c r="J29" s="51"/>
      <c r="K29" s="112"/>
      <c r="L29" s="53">
        <f t="shared" si="30"/>
        <v>0</v>
      </c>
      <c r="M29" s="112"/>
      <c r="N29" s="53">
        <f t="shared" si="4"/>
        <v>0</v>
      </c>
      <c r="O29" s="53">
        <f t="shared" si="5"/>
        <v>0</v>
      </c>
      <c r="P29" s="1"/>
      <c r="R29" s="1"/>
      <c r="S29" s="1"/>
      <c r="T29" s="1"/>
      <c r="U29" s="1"/>
    </row>
    <row r="30" spans="2:21">
      <c r="B30" t="str">
        <f t="shared" si="0"/>
        <v/>
      </c>
      <c r="C30" s="49">
        <f>IF(D11="","-",+C29+1)</f>
        <v>2028</v>
      </c>
      <c r="D30" s="54">
        <f>IF(F29+SUM(E$17:E29)=D$10,F29,D$10-SUM(E$17:E29))</f>
        <v>5466378.8242187537</v>
      </c>
      <c r="E30" s="377">
        <f t="shared" si="26"/>
        <v>284503.46666666667</v>
      </c>
      <c r="F30" s="54">
        <f t="shared" si="27"/>
        <v>5181875.3575520869</v>
      </c>
      <c r="G30" s="378">
        <f t="shared" si="28"/>
        <v>893849.42569454457</v>
      </c>
      <c r="H30" s="359">
        <f t="shared" si="29"/>
        <v>893849.42569454457</v>
      </c>
      <c r="I30" s="51">
        <f t="shared" si="6"/>
        <v>0</v>
      </c>
      <c r="J30" s="51"/>
      <c r="K30" s="112"/>
      <c r="L30" s="53">
        <f t="shared" si="30"/>
        <v>0</v>
      </c>
      <c r="M30" s="112"/>
      <c r="N30" s="53">
        <f t="shared" si="4"/>
        <v>0</v>
      </c>
      <c r="O30" s="53">
        <f t="shared" si="5"/>
        <v>0</v>
      </c>
      <c r="P30" s="1"/>
      <c r="R30" s="1"/>
      <c r="S30" s="1"/>
      <c r="T30" s="1"/>
      <c r="U30" s="1"/>
    </row>
    <row r="31" spans="2:21">
      <c r="B31" t="str">
        <f>IF(D31=F30,"","IU")</f>
        <v/>
      </c>
      <c r="C31" s="49">
        <f>IF(D11="","-",+C30+1)</f>
        <v>2029</v>
      </c>
      <c r="D31" s="54">
        <f>IF(F30+SUM(E$17:E30)=D$10,F30,D$10-SUM(E$17:E30))</f>
        <v>5181875.3575520869</v>
      </c>
      <c r="E31" s="377">
        <f t="shared" si="26"/>
        <v>284503.46666666667</v>
      </c>
      <c r="F31" s="54">
        <f t="shared" si="27"/>
        <v>4897371.8908854201</v>
      </c>
      <c r="G31" s="378">
        <f t="shared" si="28"/>
        <v>861288.02458908642</v>
      </c>
      <c r="H31" s="359">
        <f t="shared" si="29"/>
        <v>861288.02458908642</v>
      </c>
      <c r="I31" s="51">
        <f t="shared" si="6"/>
        <v>0</v>
      </c>
      <c r="J31" s="51"/>
      <c r="K31" s="112"/>
      <c r="L31" s="53">
        <f t="shared" si="30"/>
        <v>0</v>
      </c>
      <c r="M31" s="112"/>
      <c r="N31" s="53">
        <f t="shared" si="4"/>
        <v>0</v>
      </c>
      <c r="O31" s="53">
        <f t="shared" si="5"/>
        <v>0</v>
      </c>
      <c r="P31" s="1"/>
      <c r="R31" s="1"/>
      <c r="S31" s="1"/>
      <c r="T31" s="1"/>
      <c r="U31" s="1"/>
    </row>
    <row r="32" spans="2:21">
      <c r="B32" t="str">
        <f t="shared" ref="B32:B46" si="31">IF(D32=F31,"","IU")</f>
        <v/>
      </c>
      <c r="C32" s="49">
        <f>IF(D12="","-",+C31+1)</f>
        <v>2030</v>
      </c>
      <c r="D32" s="54">
        <f>IF(F31+SUM(E$17:E31)=D$10,F31,D$10-SUM(E$17:E31))</f>
        <v>4897371.8908854201</v>
      </c>
      <c r="E32" s="377">
        <f>IF(+$I$14&lt;F31,$I$14,D32)</f>
        <v>284503.46666666667</v>
      </c>
      <c r="F32" s="54">
        <f>+D32-E32</f>
        <v>4612868.4242187534</v>
      </c>
      <c r="G32" s="378">
        <f t="shared" si="28"/>
        <v>828726.62348362827</v>
      </c>
      <c r="H32" s="359">
        <f t="shared" si="29"/>
        <v>828726.62348362827</v>
      </c>
      <c r="I32" s="51">
        <f>H32-G32</f>
        <v>0</v>
      </c>
      <c r="J32" s="51"/>
      <c r="K32" s="112"/>
      <c r="L32" s="53">
        <f>IF(K32&lt;&gt;0,+G32-K32,0)</f>
        <v>0</v>
      </c>
      <c r="M32" s="112"/>
      <c r="N32" s="53">
        <f>IF(M32&lt;&gt;0,+H32-M32,0)</f>
        <v>0</v>
      </c>
      <c r="O32" s="53">
        <f>+N32-L32</f>
        <v>0</v>
      </c>
      <c r="P32" s="1"/>
      <c r="R32" s="1"/>
      <c r="S32" s="1"/>
      <c r="T32" s="1"/>
      <c r="U32" s="1"/>
    </row>
    <row r="33" spans="2:21">
      <c r="B33" t="str">
        <f t="shared" si="31"/>
        <v/>
      </c>
      <c r="C33" s="49">
        <f>IF(D13="","-",+C32+1)</f>
        <v>2031</v>
      </c>
      <c r="D33" s="54">
        <f>IF(F32+SUM(E$17:E32)=D$10,F32,D$10-SUM(E$17:E32))</f>
        <v>4612868.4242187534</v>
      </c>
      <c r="E33" s="377">
        <f>IF(+$I$14&lt;F32,$I$14,D33)</f>
        <v>284503.46666666667</v>
      </c>
      <c r="F33" s="54">
        <f>+D33-E33</f>
        <v>4328364.9575520866</v>
      </c>
      <c r="G33" s="378">
        <f t="shared" si="28"/>
        <v>796165.22237817023</v>
      </c>
      <c r="H33" s="359">
        <f t="shared" si="29"/>
        <v>796165.22237817023</v>
      </c>
      <c r="I33" s="51">
        <f>H33-G33</f>
        <v>0</v>
      </c>
      <c r="J33" s="51"/>
      <c r="K33" s="112"/>
      <c r="L33" s="53">
        <f>IF(K33&lt;&gt;0,+G33-K33,0)</f>
        <v>0</v>
      </c>
      <c r="M33" s="112"/>
      <c r="N33" s="53">
        <f>IF(M33&lt;&gt;0,+H33-M33,0)</f>
        <v>0</v>
      </c>
      <c r="O33" s="53">
        <f>+N33-L33</f>
        <v>0</v>
      </c>
      <c r="P33" s="1"/>
      <c r="R33" s="1"/>
      <c r="S33" s="1"/>
      <c r="T33" s="1"/>
      <c r="U33" s="1"/>
    </row>
    <row r="34" spans="2:21">
      <c r="B34" t="str">
        <f t="shared" si="31"/>
        <v/>
      </c>
      <c r="C34" s="49">
        <f t="shared" ref="C34:C42" si="32">IF(D14="","-",+C33+1)</f>
        <v>2032</v>
      </c>
      <c r="D34" s="380">
        <f>IF(F33+SUM(E$17:E33)=D$10,F33,D$10-SUM(E$17:E33))</f>
        <v>4328364.9575520866</v>
      </c>
      <c r="E34" s="381">
        <f t="shared" si="26"/>
        <v>284503.46666666667</v>
      </c>
      <c r="F34" s="380">
        <f t="shared" si="27"/>
        <v>4043861.4908854198</v>
      </c>
      <c r="G34" s="378">
        <f t="shared" si="28"/>
        <v>763603.8212727122</v>
      </c>
      <c r="H34" s="359">
        <f t="shared" si="29"/>
        <v>763603.8212727122</v>
      </c>
      <c r="I34" s="384">
        <f t="shared" si="6"/>
        <v>0</v>
      </c>
      <c r="J34" s="384"/>
      <c r="K34" s="385"/>
      <c r="L34" s="386">
        <f t="shared" si="30"/>
        <v>0</v>
      </c>
      <c r="M34" s="385"/>
      <c r="N34" s="386">
        <f t="shared" si="4"/>
        <v>0</v>
      </c>
      <c r="O34" s="386">
        <f t="shared" si="5"/>
        <v>0</v>
      </c>
      <c r="P34" s="387"/>
      <c r="Q34" s="187"/>
      <c r="R34" s="387"/>
      <c r="S34" s="387"/>
      <c r="T34" s="387"/>
      <c r="U34" s="1"/>
    </row>
    <row r="35" spans="2:21">
      <c r="B35" t="str">
        <f t="shared" si="31"/>
        <v/>
      </c>
      <c r="C35" s="49">
        <f t="shared" si="32"/>
        <v>2033</v>
      </c>
      <c r="D35" s="54">
        <f>IF(F34+SUM(E$17:E34)=D$10,F34,D$10-SUM(E$17:E34))</f>
        <v>4043861.4908854198</v>
      </c>
      <c r="E35" s="377">
        <f t="shared" si="26"/>
        <v>284503.46666666667</v>
      </c>
      <c r="F35" s="54">
        <f t="shared" si="27"/>
        <v>3759358.024218753</v>
      </c>
      <c r="G35" s="378">
        <f t="shared" si="28"/>
        <v>731042.42016725405</v>
      </c>
      <c r="H35" s="359">
        <f t="shared" si="29"/>
        <v>731042.42016725405</v>
      </c>
      <c r="I35" s="51">
        <f t="shared" si="6"/>
        <v>0</v>
      </c>
      <c r="J35" s="51"/>
      <c r="K35" s="112"/>
      <c r="L35" s="53">
        <f t="shared" si="30"/>
        <v>0</v>
      </c>
      <c r="M35" s="112"/>
      <c r="N35" s="53">
        <f t="shared" si="4"/>
        <v>0</v>
      </c>
      <c r="O35" s="53">
        <f t="shared" si="5"/>
        <v>0</v>
      </c>
      <c r="P35" s="1"/>
      <c r="R35" s="1"/>
      <c r="S35" s="1"/>
      <c r="T35" s="1"/>
      <c r="U35" s="1"/>
    </row>
    <row r="36" spans="2:21">
      <c r="B36" t="str">
        <f t="shared" si="31"/>
        <v/>
      </c>
      <c r="C36" s="49">
        <f t="shared" si="32"/>
        <v>2034</v>
      </c>
      <c r="D36" s="54">
        <f>IF(F35+SUM(E$17:E35)=D$10,F35,D$10-SUM(E$17:E35))</f>
        <v>3759358.024218753</v>
      </c>
      <c r="E36" s="377">
        <f t="shared" si="26"/>
        <v>284503.46666666667</v>
      </c>
      <c r="F36" s="54">
        <f t="shared" si="27"/>
        <v>3474854.5575520862</v>
      </c>
      <c r="G36" s="378">
        <f t="shared" si="28"/>
        <v>698481.0190617959</v>
      </c>
      <c r="H36" s="359">
        <f t="shared" si="29"/>
        <v>698481.0190617959</v>
      </c>
      <c r="I36" s="51">
        <f t="shared" si="6"/>
        <v>0</v>
      </c>
      <c r="J36" s="51"/>
      <c r="K36" s="112"/>
      <c r="L36" s="53">
        <f t="shared" si="30"/>
        <v>0</v>
      </c>
      <c r="M36" s="112"/>
      <c r="N36" s="53">
        <f t="shared" si="4"/>
        <v>0</v>
      </c>
      <c r="O36" s="53">
        <f t="shared" si="5"/>
        <v>0</v>
      </c>
      <c r="P36" s="1"/>
      <c r="R36" s="1"/>
      <c r="S36" s="1"/>
      <c r="T36" s="1"/>
      <c r="U36" s="1"/>
    </row>
    <row r="37" spans="2:21">
      <c r="B37" t="str">
        <f t="shared" si="31"/>
        <v/>
      </c>
      <c r="C37" s="49">
        <f t="shared" si="32"/>
        <v>2035</v>
      </c>
      <c r="D37" s="54">
        <f>IF(F36+SUM(E$17:E36)=D$10,F36,D$10-SUM(E$17:E36))</f>
        <v>3474854.5575520862</v>
      </c>
      <c r="E37" s="377">
        <f t="shared" si="26"/>
        <v>284503.46666666667</v>
      </c>
      <c r="F37" s="54">
        <f t="shared" si="27"/>
        <v>3190351.0908854194</v>
      </c>
      <c r="G37" s="378">
        <f t="shared" si="28"/>
        <v>665919.61795633775</v>
      </c>
      <c r="H37" s="359">
        <f t="shared" si="29"/>
        <v>665919.61795633775</v>
      </c>
      <c r="I37" s="51">
        <f t="shared" si="6"/>
        <v>0</v>
      </c>
      <c r="J37" s="51"/>
      <c r="K37" s="112"/>
      <c r="L37" s="53">
        <f t="shared" si="30"/>
        <v>0</v>
      </c>
      <c r="M37" s="112"/>
      <c r="N37" s="53">
        <f t="shared" si="4"/>
        <v>0</v>
      </c>
      <c r="O37" s="53">
        <f t="shared" si="5"/>
        <v>0</v>
      </c>
      <c r="P37" s="1"/>
      <c r="R37" s="1"/>
      <c r="S37" s="1"/>
      <c r="T37" s="1"/>
      <c r="U37" s="1"/>
    </row>
    <row r="38" spans="2:21">
      <c r="B38" t="str">
        <f t="shared" si="31"/>
        <v/>
      </c>
      <c r="C38" s="49">
        <f t="shared" si="32"/>
        <v>2036</v>
      </c>
      <c r="D38" s="54">
        <f>IF(F37+SUM(E$17:E37)=D$10,F37,D$10-SUM(E$17:E37))</f>
        <v>3190351.0908854194</v>
      </c>
      <c r="E38" s="377">
        <f t="shared" si="26"/>
        <v>284503.46666666667</v>
      </c>
      <c r="F38" s="54">
        <f t="shared" si="27"/>
        <v>2905847.6242187526</v>
      </c>
      <c r="G38" s="378">
        <f t="shared" si="28"/>
        <v>633358.21685087972</v>
      </c>
      <c r="H38" s="359">
        <f t="shared" si="29"/>
        <v>633358.21685087972</v>
      </c>
      <c r="I38" s="51">
        <f t="shared" si="6"/>
        <v>0</v>
      </c>
      <c r="J38" s="51"/>
      <c r="K38" s="112"/>
      <c r="L38" s="53">
        <f t="shared" si="30"/>
        <v>0</v>
      </c>
      <c r="M38" s="112"/>
      <c r="N38" s="53">
        <f t="shared" si="4"/>
        <v>0</v>
      </c>
      <c r="O38" s="53">
        <f t="shared" si="5"/>
        <v>0</v>
      </c>
      <c r="P38" s="1"/>
      <c r="R38" s="1"/>
      <c r="S38" s="1"/>
      <c r="T38" s="1"/>
      <c r="U38" s="1"/>
    </row>
    <row r="39" spans="2:21">
      <c r="B39" t="str">
        <f t="shared" si="31"/>
        <v/>
      </c>
      <c r="C39" s="49">
        <f t="shared" si="32"/>
        <v>2037</v>
      </c>
      <c r="D39" s="54">
        <f>IF(F38+SUM(E$17:E38)=D$10,F38,D$10-SUM(E$17:E38))</f>
        <v>2905847.6242187526</v>
      </c>
      <c r="E39" s="377">
        <f t="shared" si="26"/>
        <v>284503.46666666667</v>
      </c>
      <c r="F39" s="54">
        <f t="shared" si="27"/>
        <v>2621344.1575520858</v>
      </c>
      <c r="G39" s="378">
        <f t="shared" si="28"/>
        <v>600796.81574542169</v>
      </c>
      <c r="H39" s="359">
        <f t="shared" si="29"/>
        <v>600796.81574542169</v>
      </c>
      <c r="I39" s="51">
        <f t="shared" si="6"/>
        <v>0</v>
      </c>
      <c r="J39" s="51"/>
      <c r="K39" s="112"/>
      <c r="L39" s="53">
        <f t="shared" si="30"/>
        <v>0</v>
      </c>
      <c r="M39" s="112"/>
      <c r="N39" s="53">
        <f t="shared" si="4"/>
        <v>0</v>
      </c>
      <c r="O39" s="53">
        <f t="shared" si="5"/>
        <v>0</v>
      </c>
      <c r="P39" s="1"/>
      <c r="R39" s="1"/>
      <c r="S39" s="1"/>
      <c r="T39" s="1"/>
      <c r="U39" s="1"/>
    </row>
    <row r="40" spans="2:21">
      <c r="B40" t="str">
        <f t="shared" si="31"/>
        <v/>
      </c>
      <c r="C40" s="49">
        <f t="shared" si="32"/>
        <v>2038</v>
      </c>
      <c r="D40" s="54">
        <f>IF(F39+SUM(E$17:E39)=D$10,F39,D$10-SUM(E$17:E39))</f>
        <v>2621344.1575520858</v>
      </c>
      <c r="E40" s="377">
        <f t="shared" si="26"/>
        <v>284503.46666666667</v>
      </c>
      <c r="F40" s="54">
        <f t="shared" si="27"/>
        <v>2336840.690885419</v>
      </c>
      <c r="G40" s="378">
        <f t="shared" si="28"/>
        <v>568235.41463996354</v>
      </c>
      <c r="H40" s="359">
        <f t="shared" si="29"/>
        <v>568235.41463996354</v>
      </c>
      <c r="I40" s="51">
        <f t="shared" si="6"/>
        <v>0</v>
      </c>
      <c r="J40" s="51"/>
      <c r="K40" s="112"/>
      <c r="L40" s="53">
        <f t="shared" si="30"/>
        <v>0</v>
      </c>
      <c r="M40" s="112"/>
      <c r="N40" s="53">
        <f t="shared" si="4"/>
        <v>0</v>
      </c>
      <c r="O40" s="53">
        <f t="shared" si="5"/>
        <v>0</v>
      </c>
      <c r="P40" s="1"/>
      <c r="R40" s="1"/>
      <c r="S40" s="1"/>
      <c r="T40" s="1"/>
      <c r="U40" s="1"/>
    </row>
    <row r="41" spans="2:21">
      <c r="B41" t="str">
        <f t="shared" si="31"/>
        <v/>
      </c>
      <c r="C41" s="49">
        <f t="shared" si="32"/>
        <v>2039</v>
      </c>
      <c r="D41" s="54">
        <f>IF(F40+SUM(E$17:E40)=D$10,F40,D$10-SUM(E$17:E40))</f>
        <v>2336840.690885419</v>
      </c>
      <c r="E41" s="377">
        <f t="shared" si="26"/>
        <v>284503.46666666667</v>
      </c>
      <c r="F41" s="54">
        <f t="shared" si="27"/>
        <v>2052337.2242187522</v>
      </c>
      <c r="G41" s="378">
        <f t="shared" si="28"/>
        <v>535674.01353450539</v>
      </c>
      <c r="H41" s="359">
        <f t="shared" si="29"/>
        <v>535674.01353450539</v>
      </c>
      <c r="I41" s="51">
        <f t="shared" si="6"/>
        <v>0</v>
      </c>
      <c r="J41" s="51"/>
      <c r="K41" s="112"/>
      <c r="L41" s="53">
        <f t="shared" si="30"/>
        <v>0</v>
      </c>
      <c r="M41" s="112"/>
      <c r="N41" s="53">
        <f t="shared" si="4"/>
        <v>0</v>
      </c>
      <c r="O41" s="53">
        <f t="shared" si="5"/>
        <v>0</v>
      </c>
      <c r="P41" s="1"/>
      <c r="R41" s="1"/>
      <c r="S41" s="1"/>
      <c r="T41" s="1"/>
      <c r="U41" s="1"/>
    </row>
    <row r="42" spans="2:21">
      <c r="B42" t="str">
        <f t="shared" si="31"/>
        <v/>
      </c>
      <c r="C42" s="49">
        <f t="shared" si="32"/>
        <v>2040</v>
      </c>
      <c r="D42" s="54">
        <f>IF(F41+SUM(E$17:E41)=D$10,F41,D$10-SUM(E$17:E41))</f>
        <v>2052337.2242187522</v>
      </c>
      <c r="E42" s="377">
        <f t="shared" si="26"/>
        <v>284503.46666666667</v>
      </c>
      <c r="F42" s="54">
        <f t="shared" si="27"/>
        <v>1767833.7575520854</v>
      </c>
      <c r="G42" s="378">
        <f t="shared" si="28"/>
        <v>503112.61242904729</v>
      </c>
      <c r="H42" s="359">
        <f t="shared" si="29"/>
        <v>503112.61242904729</v>
      </c>
      <c r="I42" s="51">
        <f t="shared" si="6"/>
        <v>0</v>
      </c>
      <c r="J42" s="51"/>
      <c r="K42" s="112"/>
      <c r="L42" s="53">
        <f t="shared" si="30"/>
        <v>0</v>
      </c>
      <c r="M42" s="112"/>
      <c r="N42" s="53">
        <f t="shared" si="4"/>
        <v>0</v>
      </c>
      <c r="O42" s="53">
        <f t="shared" si="5"/>
        <v>0</v>
      </c>
      <c r="P42" s="1"/>
      <c r="R42" s="1"/>
      <c r="S42" s="1"/>
      <c r="T42" s="1"/>
      <c r="U42" s="1"/>
    </row>
    <row r="43" spans="2:21">
      <c r="B43" t="str">
        <f t="shared" si="31"/>
        <v/>
      </c>
      <c r="C43" s="49">
        <f>IF(D11="","-",+C42+1)</f>
        <v>2041</v>
      </c>
      <c r="D43" s="54">
        <f>IF(F42+SUM(E$17:E42)=D$10,F42,D$10-SUM(E$17:E42))</f>
        <v>1767833.7575520854</v>
      </c>
      <c r="E43" s="377">
        <f t="shared" si="26"/>
        <v>284503.46666666667</v>
      </c>
      <c r="F43" s="54">
        <f t="shared" si="27"/>
        <v>1483330.2908854187</v>
      </c>
      <c r="G43" s="378">
        <f t="shared" si="28"/>
        <v>470551.2113235892</v>
      </c>
      <c r="H43" s="359">
        <f t="shared" si="29"/>
        <v>470551.2113235892</v>
      </c>
      <c r="I43" s="51">
        <f t="shared" si="6"/>
        <v>0</v>
      </c>
      <c r="J43" s="51"/>
      <c r="K43" s="112"/>
      <c r="L43" s="53">
        <f t="shared" si="30"/>
        <v>0</v>
      </c>
      <c r="M43" s="112"/>
      <c r="N43" s="53">
        <f t="shared" si="4"/>
        <v>0</v>
      </c>
      <c r="O43" s="53">
        <f t="shared" si="5"/>
        <v>0</v>
      </c>
      <c r="P43" s="1"/>
      <c r="R43" s="1"/>
      <c r="S43" s="1"/>
      <c r="T43" s="1"/>
      <c r="U43" s="1"/>
    </row>
    <row r="44" spans="2:21">
      <c r="B44" t="str">
        <f t="shared" si="31"/>
        <v/>
      </c>
      <c r="C44" s="49">
        <f>IF(D11="","-",+C43+1)</f>
        <v>2042</v>
      </c>
      <c r="D44" s="54">
        <f>IF(F43+SUM(E$17:E43)=D$10,F43,D$10-SUM(E$17:E43))</f>
        <v>1483330.2908854187</v>
      </c>
      <c r="E44" s="377">
        <f t="shared" si="26"/>
        <v>284503.46666666667</v>
      </c>
      <c r="F44" s="54">
        <f t="shared" si="27"/>
        <v>1198826.8242187519</v>
      </c>
      <c r="G44" s="378">
        <f t="shared" si="28"/>
        <v>437989.81021813105</v>
      </c>
      <c r="H44" s="359">
        <f t="shared" si="29"/>
        <v>437989.81021813105</v>
      </c>
      <c r="I44" s="51">
        <f t="shared" si="6"/>
        <v>0</v>
      </c>
      <c r="J44" s="51"/>
      <c r="K44" s="112"/>
      <c r="L44" s="53">
        <f t="shared" si="30"/>
        <v>0</v>
      </c>
      <c r="M44" s="112"/>
      <c r="N44" s="53">
        <f t="shared" si="4"/>
        <v>0</v>
      </c>
      <c r="O44" s="53">
        <f t="shared" si="5"/>
        <v>0</v>
      </c>
      <c r="P44" s="1"/>
      <c r="R44" s="1"/>
      <c r="S44" s="1"/>
      <c r="T44" s="1"/>
      <c r="U44" s="1"/>
    </row>
    <row r="45" spans="2:21">
      <c r="B45" t="str">
        <f t="shared" si="31"/>
        <v/>
      </c>
      <c r="C45" s="49">
        <f>IF(D11="","-",+C44+1)</f>
        <v>2043</v>
      </c>
      <c r="D45" s="54">
        <f>IF(F44+SUM(E$17:E44)=D$10,F44,D$10-SUM(E$17:E44))</f>
        <v>1198826.8242187519</v>
      </c>
      <c r="E45" s="377">
        <f t="shared" si="26"/>
        <v>284503.46666666667</v>
      </c>
      <c r="F45" s="54">
        <f t="shared" si="27"/>
        <v>914323.35755208519</v>
      </c>
      <c r="G45" s="378">
        <f t="shared" si="28"/>
        <v>405428.40911267302</v>
      </c>
      <c r="H45" s="359">
        <f t="shared" si="29"/>
        <v>405428.40911267302</v>
      </c>
      <c r="I45" s="51">
        <f t="shared" si="6"/>
        <v>0</v>
      </c>
      <c r="J45" s="51"/>
      <c r="K45" s="112"/>
      <c r="L45" s="53">
        <f t="shared" si="30"/>
        <v>0</v>
      </c>
      <c r="M45" s="112"/>
      <c r="N45" s="53">
        <f t="shared" si="4"/>
        <v>0</v>
      </c>
      <c r="O45" s="53">
        <f t="shared" si="5"/>
        <v>0</v>
      </c>
      <c r="P45" s="1"/>
      <c r="R45" s="1"/>
      <c r="S45" s="1"/>
      <c r="T45" s="1"/>
      <c r="U45" s="1"/>
    </row>
    <row r="46" spans="2:21">
      <c r="B46" t="str">
        <f t="shared" si="31"/>
        <v/>
      </c>
      <c r="C46" s="49">
        <f>IF(D11="","-",+C45+1)</f>
        <v>2044</v>
      </c>
      <c r="D46" s="54">
        <f>IF(F45+SUM(E$17:E45)=D$10,F45,D$10-SUM(E$17:E45))</f>
        <v>914323.35755208519</v>
      </c>
      <c r="E46" s="377">
        <f t="shared" si="26"/>
        <v>284503.46666666667</v>
      </c>
      <c r="F46" s="54">
        <f t="shared" si="27"/>
        <v>629819.89088541851</v>
      </c>
      <c r="G46" s="378">
        <f t="shared" si="28"/>
        <v>372867.00800721493</v>
      </c>
      <c r="H46" s="359">
        <f t="shared" si="29"/>
        <v>372867.00800721493</v>
      </c>
      <c r="I46" s="51">
        <f t="shared" si="6"/>
        <v>0</v>
      </c>
      <c r="J46" s="51"/>
      <c r="K46" s="112"/>
      <c r="L46" s="53">
        <f t="shared" si="30"/>
        <v>0</v>
      </c>
      <c r="M46" s="112"/>
      <c r="N46" s="53">
        <f t="shared" si="4"/>
        <v>0</v>
      </c>
      <c r="O46" s="53">
        <f t="shared" si="5"/>
        <v>0</v>
      </c>
      <c r="P46" s="1"/>
      <c r="R46" s="1"/>
      <c r="S46" s="1"/>
      <c r="T46" s="1"/>
      <c r="U46" s="1"/>
    </row>
    <row r="47" spans="2:21">
      <c r="B47" t="str">
        <f t="shared" si="0"/>
        <v/>
      </c>
      <c r="C47" s="49">
        <f>IF(D11="","-",+C46+1)</f>
        <v>2045</v>
      </c>
      <c r="D47" s="54">
        <f>IF(F46+SUM(E$17:E46)=D$10,F46,D$10-SUM(E$17:E46))</f>
        <v>629819.89088541851</v>
      </c>
      <c r="E47" s="377">
        <f t="shared" si="26"/>
        <v>284503.46666666667</v>
      </c>
      <c r="F47" s="54">
        <f t="shared" si="27"/>
        <v>345316.42421875184</v>
      </c>
      <c r="G47" s="378">
        <f t="shared" si="28"/>
        <v>340305.60690175684</v>
      </c>
      <c r="H47" s="359">
        <f t="shared" si="29"/>
        <v>340305.60690175684</v>
      </c>
      <c r="I47" s="51">
        <f t="shared" si="6"/>
        <v>0</v>
      </c>
      <c r="J47" s="51"/>
      <c r="K47" s="112"/>
      <c r="L47" s="53">
        <f t="shared" si="30"/>
        <v>0</v>
      </c>
      <c r="M47" s="112"/>
      <c r="N47" s="53">
        <f t="shared" si="4"/>
        <v>0</v>
      </c>
      <c r="O47" s="53">
        <f t="shared" si="5"/>
        <v>0</v>
      </c>
      <c r="P47" s="1"/>
      <c r="R47" s="1"/>
      <c r="S47" s="1"/>
      <c r="T47" s="1"/>
      <c r="U47" s="1"/>
    </row>
    <row r="48" spans="2:21">
      <c r="B48" t="str">
        <f t="shared" si="0"/>
        <v/>
      </c>
      <c r="C48" s="49">
        <f>IF(D11="","-",+C47+1)</f>
        <v>2046</v>
      </c>
      <c r="D48" s="54">
        <f>IF(F47+SUM(E$17:E47)=D$10,F47,D$10-SUM(E$17:E47))</f>
        <v>345316.42421875184</v>
      </c>
      <c r="E48" s="377">
        <f t="shared" si="26"/>
        <v>284503.46666666667</v>
      </c>
      <c r="F48" s="54">
        <f t="shared" si="27"/>
        <v>60812.957552085165</v>
      </c>
      <c r="G48" s="378">
        <f t="shared" si="28"/>
        <v>307744.20579629875</v>
      </c>
      <c r="H48" s="359">
        <f t="shared" si="29"/>
        <v>307744.20579629875</v>
      </c>
      <c r="I48" s="51">
        <f t="shared" si="6"/>
        <v>0</v>
      </c>
      <c r="J48" s="51"/>
      <c r="K48" s="112"/>
      <c r="L48" s="53">
        <f t="shared" si="30"/>
        <v>0</v>
      </c>
      <c r="M48" s="112"/>
      <c r="N48" s="53">
        <f t="shared" si="4"/>
        <v>0</v>
      </c>
      <c r="O48" s="53">
        <f t="shared" si="5"/>
        <v>0</v>
      </c>
      <c r="P48" s="1"/>
      <c r="R48" s="1"/>
      <c r="S48" s="1"/>
      <c r="T48" s="1"/>
      <c r="U48" s="1"/>
    </row>
    <row r="49" spans="2:21">
      <c r="B49" t="str">
        <f t="shared" si="0"/>
        <v/>
      </c>
      <c r="C49" s="49">
        <f>IF(D11="","-",+C48+1)</f>
        <v>2047</v>
      </c>
      <c r="D49" s="54">
        <f>IF(F48+SUM(E$17:E48)=D$10,F48,D$10-SUM(E$17:E48))</f>
        <v>60812.957552085165</v>
      </c>
      <c r="E49" s="377">
        <f t="shared" si="26"/>
        <v>60812.957552085165</v>
      </c>
      <c r="F49" s="54">
        <f t="shared" si="27"/>
        <v>0</v>
      </c>
      <c r="G49" s="378">
        <f t="shared" si="28"/>
        <v>64292.97684053667</v>
      </c>
      <c r="H49" s="359">
        <f t="shared" si="29"/>
        <v>64292.97684053667</v>
      </c>
      <c r="I49" s="51">
        <f t="shared" si="6"/>
        <v>0</v>
      </c>
      <c r="J49" s="51"/>
      <c r="K49" s="112"/>
      <c r="L49" s="53">
        <f t="shared" si="30"/>
        <v>0</v>
      </c>
      <c r="M49" s="112"/>
      <c r="N49" s="53">
        <f t="shared" si="4"/>
        <v>0</v>
      </c>
      <c r="O49" s="53">
        <f t="shared" si="5"/>
        <v>0</v>
      </c>
      <c r="P49" s="1"/>
      <c r="R49" s="1"/>
      <c r="S49" s="1"/>
      <c r="T49" s="1"/>
      <c r="U49" s="1"/>
    </row>
    <row r="50" spans="2:21">
      <c r="B50" t="str">
        <f t="shared" si="0"/>
        <v/>
      </c>
      <c r="C50" s="49">
        <f>IF(D11="","-",+C49+1)</f>
        <v>2048</v>
      </c>
      <c r="D50" s="54">
        <f>IF(F49+SUM(E$17:E49)=D$10,F49,D$10-SUM(E$17:E49))</f>
        <v>0</v>
      </c>
      <c r="E50" s="377">
        <f t="shared" si="26"/>
        <v>0</v>
      </c>
      <c r="F50" s="54">
        <f t="shared" si="27"/>
        <v>0</v>
      </c>
      <c r="G50" s="378">
        <f t="shared" si="28"/>
        <v>0</v>
      </c>
      <c r="H50" s="359">
        <f t="shared" si="29"/>
        <v>0</v>
      </c>
      <c r="I50" s="51">
        <f t="shared" si="6"/>
        <v>0</v>
      </c>
      <c r="J50" s="51"/>
      <c r="K50" s="112"/>
      <c r="L50" s="53">
        <f t="shared" si="30"/>
        <v>0</v>
      </c>
      <c r="M50" s="112"/>
      <c r="N50" s="53">
        <f t="shared" si="4"/>
        <v>0</v>
      </c>
      <c r="O50" s="53">
        <f t="shared" si="5"/>
        <v>0</v>
      </c>
      <c r="P50" s="1"/>
      <c r="R50" s="1"/>
      <c r="S50" s="1"/>
      <c r="T50" s="1"/>
      <c r="U50" s="1"/>
    </row>
    <row r="51" spans="2:21">
      <c r="B51" t="str">
        <f t="shared" si="0"/>
        <v/>
      </c>
      <c r="C51" s="49">
        <f>IF(D11="","-",+C50+1)</f>
        <v>2049</v>
      </c>
      <c r="D51" s="54">
        <f>IF(F50+SUM(E$17:E50)=D$10,F50,D$10-SUM(E$17:E50))</f>
        <v>0</v>
      </c>
      <c r="E51" s="377">
        <f t="shared" si="26"/>
        <v>0</v>
      </c>
      <c r="F51" s="54">
        <f t="shared" si="27"/>
        <v>0</v>
      </c>
      <c r="G51" s="378">
        <f t="shared" si="28"/>
        <v>0</v>
      </c>
      <c r="H51" s="359">
        <f t="shared" si="29"/>
        <v>0</v>
      </c>
      <c r="I51" s="51">
        <f t="shared" si="6"/>
        <v>0</v>
      </c>
      <c r="J51" s="51"/>
      <c r="K51" s="112"/>
      <c r="L51" s="53">
        <f t="shared" si="30"/>
        <v>0</v>
      </c>
      <c r="M51" s="112"/>
      <c r="N51" s="53">
        <f t="shared" si="4"/>
        <v>0</v>
      </c>
      <c r="O51" s="53">
        <f t="shared" si="5"/>
        <v>0</v>
      </c>
      <c r="P51" s="1"/>
      <c r="R51" s="1"/>
      <c r="S51" s="1"/>
      <c r="T51" s="1"/>
      <c r="U51" s="1"/>
    </row>
    <row r="52" spans="2:21">
      <c r="B52" t="str">
        <f t="shared" si="0"/>
        <v/>
      </c>
      <c r="C52" s="49">
        <f>IF(D11="","-",+C51+1)</f>
        <v>2050</v>
      </c>
      <c r="D52" s="54">
        <f>IF(F51+SUM(E$17:E51)=D$10,F51,D$10-SUM(E$17:E51))</f>
        <v>0</v>
      </c>
      <c r="E52" s="377">
        <f t="shared" si="26"/>
        <v>0</v>
      </c>
      <c r="F52" s="54">
        <f t="shared" si="27"/>
        <v>0</v>
      </c>
      <c r="G52" s="378">
        <f t="shared" si="28"/>
        <v>0</v>
      </c>
      <c r="H52" s="359">
        <f t="shared" si="29"/>
        <v>0</v>
      </c>
      <c r="I52" s="51">
        <f t="shared" si="6"/>
        <v>0</v>
      </c>
      <c r="J52" s="51"/>
      <c r="K52" s="112"/>
      <c r="L52" s="53">
        <f t="shared" si="30"/>
        <v>0</v>
      </c>
      <c r="M52" s="112"/>
      <c r="N52" s="53">
        <f t="shared" si="4"/>
        <v>0</v>
      </c>
      <c r="O52" s="53">
        <f t="shared" si="5"/>
        <v>0</v>
      </c>
      <c r="P52" s="1"/>
      <c r="R52" s="1"/>
      <c r="S52" s="1"/>
      <c r="T52" s="1"/>
      <c r="U52" s="1"/>
    </row>
    <row r="53" spans="2:21">
      <c r="B53" t="str">
        <f t="shared" si="0"/>
        <v/>
      </c>
      <c r="C53" s="49">
        <f>IF(D11="","-",+C52+1)</f>
        <v>2051</v>
      </c>
      <c r="D53" s="54">
        <f>IF(F52+SUM(E$17:E52)=D$10,F52,D$10-SUM(E$17:E52))</f>
        <v>0</v>
      </c>
      <c r="E53" s="377">
        <f t="shared" si="26"/>
        <v>0</v>
      </c>
      <c r="F53" s="54">
        <f t="shared" si="27"/>
        <v>0</v>
      </c>
      <c r="G53" s="378">
        <f t="shared" si="28"/>
        <v>0</v>
      </c>
      <c r="H53" s="359">
        <f t="shared" si="29"/>
        <v>0</v>
      </c>
      <c r="I53" s="51">
        <f t="shared" si="6"/>
        <v>0</v>
      </c>
      <c r="J53" s="51"/>
      <c r="K53" s="112"/>
      <c r="L53" s="53">
        <f t="shared" si="30"/>
        <v>0</v>
      </c>
      <c r="M53" s="112"/>
      <c r="N53" s="53">
        <f t="shared" si="4"/>
        <v>0</v>
      </c>
      <c r="O53" s="53">
        <f t="shared" si="5"/>
        <v>0</v>
      </c>
      <c r="P53" s="1"/>
      <c r="R53" s="1"/>
      <c r="S53" s="1"/>
      <c r="T53" s="1"/>
      <c r="U53" s="1"/>
    </row>
    <row r="54" spans="2:21">
      <c r="B54" t="str">
        <f t="shared" si="0"/>
        <v/>
      </c>
      <c r="C54" s="49">
        <f>IF(D11="","-",+C53+1)</f>
        <v>2052</v>
      </c>
      <c r="D54" s="54">
        <f>IF(F53+SUM(E$17:E53)=D$10,F53,D$10-SUM(E$17:E53))</f>
        <v>0</v>
      </c>
      <c r="E54" s="377">
        <f t="shared" si="26"/>
        <v>0</v>
      </c>
      <c r="F54" s="54">
        <f t="shared" si="27"/>
        <v>0</v>
      </c>
      <c r="G54" s="378">
        <f t="shared" si="28"/>
        <v>0</v>
      </c>
      <c r="H54" s="359">
        <f t="shared" si="29"/>
        <v>0</v>
      </c>
      <c r="I54" s="51">
        <f t="shared" si="6"/>
        <v>0</v>
      </c>
      <c r="J54" s="51"/>
      <c r="K54" s="112"/>
      <c r="L54" s="53">
        <f t="shared" si="30"/>
        <v>0</v>
      </c>
      <c r="M54" s="112"/>
      <c r="N54" s="53">
        <f t="shared" si="4"/>
        <v>0</v>
      </c>
      <c r="O54" s="53">
        <f t="shared" si="5"/>
        <v>0</v>
      </c>
      <c r="P54" s="1"/>
      <c r="R54" s="1"/>
      <c r="S54" s="1"/>
      <c r="T54" s="1"/>
      <c r="U54" s="1"/>
    </row>
    <row r="55" spans="2:21">
      <c r="B55" t="str">
        <f t="shared" si="0"/>
        <v/>
      </c>
      <c r="C55" s="49">
        <f>IF(D11="","-",+C54+1)</f>
        <v>2053</v>
      </c>
      <c r="D55" s="54">
        <f>IF(F54+SUM(E$17:E54)=D$10,F54,D$10-SUM(E$17:E54))</f>
        <v>0</v>
      </c>
      <c r="E55" s="377">
        <f t="shared" si="26"/>
        <v>0</v>
      </c>
      <c r="F55" s="54">
        <f t="shared" si="27"/>
        <v>0</v>
      </c>
      <c r="G55" s="378">
        <f t="shared" si="28"/>
        <v>0</v>
      </c>
      <c r="H55" s="359">
        <f t="shared" si="29"/>
        <v>0</v>
      </c>
      <c r="I55" s="51">
        <f t="shared" si="6"/>
        <v>0</v>
      </c>
      <c r="J55" s="51"/>
      <c r="K55" s="112"/>
      <c r="L55" s="53">
        <f t="shared" si="30"/>
        <v>0</v>
      </c>
      <c r="M55" s="112"/>
      <c r="N55" s="53">
        <f t="shared" si="4"/>
        <v>0</v>
      </c>
      <c r="O55" s="53">
        <f t="shared" si="5"/>
        <v>0</v>
      </c>
      <c r="P55" s="1"/>
      <c r="R55" s="1"/>
      <c r="S55" s="1"/>
      <c r="T55" s="1"/>
      <c r="U55" s="1"/>
    </row>
    <row r="56" spans="2:21">
      <c r="B56" t="str">
        <f t="shared" si="0"/>
        <v/>
      </c>
      <c r="C56" s="49">
        <f>IF(D11="","-",+C55+1)</f>
        <v>2054</v>
      </c>
      <c r="D56" s="54">
        <f>IF(F55+SUM(E$17:E55)=D$10,F55,D$10-SUM(E$17:E55))</f>
        <v>0</v>
      </c>
      <c r="E56" s="377">
        <f t="shared" si="26"/>
        <v>0</v>
      </c>
      <c r="F56" s="54">
        <f t="shared" si="27"/>
        <v>0</v>
      </c>
      <c r="G56" s="378">
        <f t="shared" si="28"/>
        <v>0</v>
      </c>
      <c r="H56" s="359">
        <f t="shared" si="29"/>
        <v>0</v>
      </c>
      <c r="I56" s="51">
        <f t="shared" si="6"/>
        <v>0</v>
      </c>
      <c r="J56" s="51"/>
      <c r="K56" s="112"/>
      <c r="L56" s="53">
        <f t="shared" si="30"/>
        <v>0</v>
      </c>
      <c r="M56" s="112"/>
      <c r="N56" s="53">
        <f t="shared" si="4"/>
        <v>0</v>
      </c>
      <c r="O56" s="53">
        <f t="shared" si="5"/>
        <v>0</v>
      </c>
      <c r="P56" s="1"/>
      <c r="R56" s="1"/>
      <c r="S56" s="1"/>
      <c r="T56" s="1"/>
      <c r="U56" s="1"/>
    </row>
    <row r="57" spans="2:21">
      <c r="B57" t="str">
        <f t="shared" si="0"/>
        <v/>
      </c>
      <c r="C57" s="49">
        <f>IF(D11="","-",+C56+1)</f>
        <v>2055</v>
      </c>
      <c r="D57" s="54">
        <f>IF(F56+SUM(E$17:E56)=D$10,F56,D$10-SUM(E$17:E56))</f>
        <v>0</v>
      </c>
      <c r="E57" s="377">
        <f t="shared" si="26"/>
        <v>0</v>
      </c>
      <c r="F57" s="54">
        <f t="shared" si="27"/>
        <v>0</v>
      </c>
      <c r="G57" s="378">
        <f t="shared" si="28"/>
        <v>0</v>
      </c>
      <c r="H57" s="359">
        <f t="shared" si="29"/>
        <v>0</v>
      </c>
      <c r="I57" s="51">
        <f t="shared" si="6"/>
        <v>0</v>
      </c>
      <c r="J57" s="51"/>
      <c r="K57" s="112"/>
      <c r="L57" s="53">
        <f t="shared" si="30"/>
        <v>0</v>
      </c>
      <c r="M57" s="112"/>
      <c r="N57" s="53">
        <f t="shared" si="4"/>
        <v>0</v>
      </c>
      <c r="O57" s="53">
        <f t="shared" si="5"/>
        <v>0</v>
      </c>
      <c r="P57" s="1"/>
      <c r="R57" s="1"/>
      <c r="S57" s="1"/>
      <c r="T57" s="1"/>
      <c r="U57" s="1"/>
    </row>
    <row r="58" spans="2:21">
      <c r="B58" t="str">
        <f t="shared" si="0"/>
        <v/>
      </c>
      <c r="C58" s="49">
        <f>IF(D11="","-",+C57+1)</f>
        <v>2056</v>
      </c>
      <c r="D58" s="54">
        <f>IF(F57+SUM(E$17:E57)=D$10,F57,D$10-SUM(E$17:E57))</f>
        <v>0</v>
      </c>
      <c r="E58" s="377">
        <f t="shared" si="26"/>
        <v>0</v>
      </c>
      <c r="F58" s="54">
        <f t="shared" si="27"/>
        <v>0</v>
      </c>
      <c r="G58" s="378">
        <f t="shared" si="28"/>
        <v>0</v>
      </c>
      <c r="H58" s="359">
        <f t="shared" si="29"/>
        <v>0</v>
      </c>
      <c r="I58" s="51">
        <f t="shared" si="6"/>
        <v>0</v>
      </c>
      <c r="J58" s="51"/>
      <c r="K58" s="112"/>
      <c r="L58" s="53">
        <f t="shared" si="30"/>
        <v>0</v>
      </c>
      <c r="M58" s="112"/>
      <c r="N58" s="53">
        <f t="shared" si="4"/>
        <v>0</v>
      </c>
      <c r="O58" s="53">
        <f t="shared" si="5"/>
        <v>0</v>
      </c>
      <c r="P58" s="1"/>
      <c r="R58" s="1"/>
      <c r="S58" s="1"/>
      <c r="T58" s="1"/>
      <c r="U58" s="1"/>
    </row>
    <row r="59" spans="2:21">
      <c r="B59" t="str">
        <f t="shared" si="0"/>
        <v/>
      </c>
      <c r="C59" s="49">
        <f>IF(D11="","-",+C58+1)</f>
        <v>2057</v>
      </c>
      <c r="D59" s="54">
        <f>IF(F58+SUM(E$17:E58)=D$10,F58,D$10-SUM(E$17:E58))</f>
        <v>0</v>
      </c>
      <c r="E59" s="377">
        <f t="shared" si="26"/>
        <v>0</v>
      </c>
      <c r="F59" s="54">
        <f t="shared" si="27"/>
        <v>0</v>
      </c>
      <c r="G59" s="378">
        <f t="shared" si="28"/>
        <v>0</v>
      </c>
      <c r="H59" s="359">
        <f t="shared" si="29"/>
        <v>0</v>
      </c>
      <c r="I59" s="51">
        <f t="shared" si="6"/>
        <v>0</v>
      </c>
      <c r="J59" s="51"/>
      <c r="K59" s="112"/>
      <c r="L59" s="53">
        <f t="shared" si="30"/>
        <v>0</v>
      </c>
      <c r="M59" s="112"/>
      <c r="N59" s="53">
        <f t="shared" si="4"/>
        <v>0</v>
      </c>
      <c r="O59" s="53">
        <f t="shared" si="5"/>
        <v>0</v>
      </c>
      <c r="P59" s="1"/>
      <c r="R59" s="1"/>
      <c r="S59" s="1"/>
      <c r="T59" s="1"/>
      <c r="U59" s="1"/>
    </row>
    <row r="60" spans="2:21">
      <c r="B60" t="str">
        <f t="shared" si="0"/>
        <v/>
      </c>
      <c r="C60" s="49">
        <f>IF(D11="","-",+C59+1)</f>
        <v>2058</v>
      </c>
      <c r="D60" s="54">
        <f>IF(F59+SUM(E$17:E59)=D$10,F59,D$10-SUM(E$17:E59))</f>
        <v>0</v>
      </c>
      <c r="E60" s="377">
        <f t="shared" si="26"/>
        <v>0</v>
      </c>
      <c r="F60" s="54">
        <f t="shared" si="27"/>
        <v>0</v>
      </c>
      <c r="G60" s="378">
        <f t="shared" si="28"/>
        <v>0</v>
      </c>
      <c r="H60" s="359">
        <f t="shared" si="29"/>
        <v>0</v>
      </c>
      <c r="I60" s="51">
        <f t="shared" si="6"/>
        <v>0</v>
      </c>
      <c r="J60" s="51"/>
      <c r="K60" s="112"/>
      <c r="L60" s="53">
        <f t="shared" si="30"/>
        <v>0</v>
      </c>
      <c r="M60" s="112"/>
      <c r="N60" s="53">
        <f t="shared" si="4"/>
        <v>0</v>
      </c>
      <c r="O60" s="53">
        <f t="shared" si="5"/>
        <v>0</v>
      </c>
      <c r="P60" s="1"/>
      <c r="R60" s="1"/>
      <c r="S60" s="1"/>
      <c r="T60" s="1"/>
      <c r="U60" s="1"/>
    </row>
    <row r="61" spans="2:21">
      <c r="B61" t="str">
        <f>IF(D61=F60,"","IU")</f>
        <v/>
      </c>
      <c r="C61" s="49">
        <f>IF(D11="","-",+C60+1)</f>
        <v>2059</v>
      </c>
      <c r="D61" s="54">
        <f>IF(F60+SUM(E$17:E60)=D$10,F60,D$10-SUM(E$17:E60))</f>
        <v>0</v>
      </c>
      <c r="E61" s="377">
        <f t="shared" si="26"/>
        <v>0</v>
      </c>
      <c r="F61" s="54">
        <f t="shared" si="27"/>
        <v>0</v>
      </c>
      <c r="G61" s="378">
        <f t="shared" si="28"/>
        <v>0</v>
      </c>
      <c r="H61" s="359">
        <f t="shared" si="29"/>
        <v>0</v>
      </c>
      <c r="I61" s="51">
        <f t="shared" si="6"/>
        <v>0</v>
      </c>
      <c r="J61" s="51"/>
      <c r="K61" s="112"/>
      <c r="L61" s="53">
        <f t="shared" si="30"/>
        <v>0</v>
      </c>
      <c r="M61" s="112"/>
      <c r="N61" s="53">
        <f t="shared" si="4"/>
        <v>0</v>
      </c>
      <c r="O61" s="53">
        <f t="shared" si="5"/>
        <v>0</v>
      </c>
      <c r="P61" s="1"/>
      <c r="R61" s="1"/>
      <c r="S61" s="1"/>
      <c r="T61" s="1"/>
      <c r="U61" s="1"/>
    </row>
    <row r="62" spans="2:21">
      <c r="B62" t="str">
        <f t="shared" si="0"/>
        <v/>
      </c>
      <c r="C62" s="49">
        <f>IF(D11="","-",+C61+1)</f>
        <v>2060</v>
      </c>
      <c r="D62" s="54">
        <f>IF(F61+SUM(E$17:E61)=D$10,F61,D$10-SUM(E$17:E61))</f>
        <v>0</v>
      </c>
      <c r="E62" s="377">
        <f t="shared" si="26"/>
        <v>0</v>
      </c>
      <c r="F62" s="54">
        <f t="shared" si="27"/>
        <v>0</v>
      </c>
      <c r="G62" s="378">
        <f t="shared" si="28"/>
        <v>0</v>
      </c>
      <c r="H62" s="359">
        <f t="shared" si="29"/>
        <v>0</v>
      </c>
      <c r="I62" s="51">
        <f t="shared" si="6"/>
        <v>0</v>
      </c>
      <c r="J62" s="51"/>
      <c r="K62" s="112"/>
      <c r="L62" s="53">
        <f t="shared" si="30"/>
        <v>0</v>
      </c>
      <c r="M62" s="112"/>
      <c r="N62" s="53">
        <f t="shared" si="4"/>
        <v>0</v>
      </c>
      <c r="O62" s="53">
        <f t="shared" si="5"/>
        <v>0</v>
      </c>
      <c r="P62" s="1"/>
      <c r="R62" s="1"/>
      <c r="S62" s="1"/>
      <c r="T62" s="1"/>
      <c r="U62" s="1"/>
    </row>
    <row r="63" spans="2:21">
      <c r="B63" t="str">
        <f t="shared" si="0"/>
        <v/>
      </c>
      <c r="C63" s="49">
        <f>IF(D11="","-",+C62+1)</f>
        <v>2061</v>
      </c>
      <c r="D63" s="54">
        <f>IF(F62+SUM(E$17:E62)=D$10,F62,D$10-SUM(E$17:E62))</f>
        <v>0</v>
      </c>
      <c r="E63" s="377">
        <f t="shared" si="26"/>
        <v>0</v>
      </c>
      <c r="F63" s="54">
        <f t="shared" si="27"/>
        <v>0</v>
      </c>
      <c r="G63" s="378">
        <f t="shared" si="28"/>
        <v>0</v>
      </c>
      <c r="H63" s="359">
        <f t="shared" si="29"/>
        <v>0</v>
      </c>
      <c r="I63" s="51">
        <f t="shared" si="6"/>
        <v>0</v>
      </c>
      <c r="J63" s="51"/>
      <c r="K63" s="112"/>
      <c r="L63" s="53">
        <f t="shared" si="30"/>
        <v>0</v>
      </c>
      <c r="M63" s="112"/>
      <c r="N63" s="53">
        <f t="shared" si="4"/>
        <v>0</v>
      </c>
      <c r="O63" s="53">
        <f t="shared" si="5"/>
        <v>0</v>
      </c>
      <c r="P63" s="1"/>
      <c r="R63" s="1"/>
      <c r="S63" s="1"/>
      <c r="T63" s="1"/>
      <c r="U63" s="1"/>
    </row>
    <row r="64" spans="2:21">
      <c r="B64" t="str">
        <f t="shared" si="0"/>
        <v/>
      </c>
      <c r="C64" s="49">
        <f>IF(D11="","-",+C63+1)</f>
        <v>2062</v>
      </c>
      <c r="D64" s="54">
        <f>IF(F63+SUM(E$17:E63)=D$10,F63,D$10-SUM(E$17:E63))</f>
        <v>0</v>
      </c>
      <c r="E64" s="377">
        <f t="shared" si="26"/>
        <v>0</v>
      </c>
      <c r="F64" s="54">
        <f t="shared" si="27"/>
        <v>0</v>
      </c>
      <c r="G64" s="378">
        <f t="shared" si="28"/>
        <v>0</v>
      </c>
      <c r="H64" s="359">
        <f t="shared" si="29"/>
        <v>0</v>
      </c>
      <c r="I64" s="51">
        <f t="shared" si="6"/>
        <v>0</v>
      </c>
      <c r="J64" s="51"/>
      <c r="K64" s="112"/>
      <c r="L64" s="53">
        <f t="shared" si="30"/>
        <v>0</v>
      </c>
      <c r="M64" s="112"/>
      <c r="N64" s="53">
        <f t="shared" si="4"/>
        <v>0</v>
      </c>
      <c r="O64" s="53">
        <f t="shared" si="5"/>
        <v>0</v>
      </c>
      <c r="P64" s="1"/>
      <c r="R64" s="1"/>
      <c r="S64" s="1"/>
      <c r="T64" s="1"/>
      <c r="U64" s="1"/>
    </row>
    <row r="65" spans="2:21">
      <c r="B65" t="str">
        <f t="shared" si="0"/>
        <v/>
      </c>
      <c r="C65" s="49">
        <f>IF(D11="","-",+C64+1)</f>
        <v>2063</v>
      </c>
      <c r="D65" s="54">
        <f>IF(F64+SUM(E$17:E64)=D$10,F64,D$10-SUM(E$17:E64))</f>
        <v>0</v>
      </c>
      <c r="E65" s="377">
        <f t="shared" si="26"/>
        <v>0</v>
      </c>
      <c r="F65" s="54">
        <f t="shared" si="27"/>
        <v>0</v>
      </c>
      <c r="G65" s="378">
        <f t="shared" si="28"/>
        <v>0</v>
      </c>
      <c r="H65" s="359">
        <f t="shared" si="29"/>
        <v>0</v>
      </c>
      <c r="I65" s="51">
        <f t="shared" si="6"/>
        <v>0</v>
      </c>
      <c r="J65" s="51"/>
      <c r="K65" s="112"/>
      <c r="L65" s="53">
        <f t="shared" si="30"/>
        <v>0</v>
      </c>
      <c r="M65" s="112"/>
      <c r="N65" s="53">
        <f t="shared" si="4"/>
        <v>0</v>
      </c>
      <c r="O65" s="53">
        <f t="shared" si="5"/>
        <v>0</v>
      </c>
      <c r="P65" s="1"/>
      <c r="R65" s="1"/>
      <c r="S65" s="1"/>
      <c r="T65" s="1"/>
      <c r="U65" s="1"/>
    </row>
    <row r="66" spans="2:21">
      <c r="B66" t="str">
        <f t="shared" si="0"/>
        <v/>
      </c>
      <c r="C66" s="49">
        <f>IF(D11="","-",+C65+1)</f>
        <v>2064</v>
      </c>
      <c r="D66" s="54">
        <f>IF(F65+SUM(E$17:E65)=D$10,F65,D$10-SUM(E$17:E65))</f>
        <v>0</v>
      </c>
      <c r="E66" s="377">
        <f t="shared" si="26"/>
        <v>0</v>
      </c>
      <c r="F66" s="54">
        <f t="shared" si="27"/>
        <v>0</v>
      </c>
      <c r="G66" s="378">
        <f t="shared" si="28"/>
        <v>0</v>
      </c>
      <c r="H66" s="359">
        <f t="shared" si="29"/>
        <v>0</v>
      </c>
      <c r="I66" s="51">
        <f t="shared" si="6"/>
        <v>0</v>
      </c>
      <c r="J66" s="51"/>
      <c r="K66" s="112"/>
      <c r="L66" s="53">
        <f t="shared" si="30"/>
        <v>0</v>
      </c>
      <c r="M66" s="112"/>
      <c r="N66" s="53">
        <f t="shared" si="4"/>
        <v>0</v>
      </c>
      <c r="O66" s="53">
        <f t="shared" si="5"/>
        <v>0</v>
      </c>
      <c r="P66" s="1"/>
      <c r="R66" s="1"/>
      <c r="S66" s="1"/>
      <c r="T66" s="1"/>
      <c r="U66" s="1"/>
    </row>
    <row r="67" spans="2:21">
      <c r="B67" t="str">
        <f t="shared" si="0"/>
        <v/>
      </c>
      <c r="C67" s="49">
        <f>IF(D11="","-",+C66+1)</f>
        <v>2065</v>
      </c>
      <c r="D67" s="54">
        <f>IF(F66+SUM(E$17:E66)=D$10,F66,D$10-SUM(E$17:E66))</f>
        <v>0</v>
      </c>
      <c r="E67" s="377">
        <f t="shared" si="26"/>
        <v>0</v>
      </c>
      <c r="F67" s="54">
        <f t="shared" si="27"/>
        <v>0</v>
      </c>
      <c r="G67" s="378">
        <f t="shared" si="28"/>
        <v>0</v>
      </c>
      <c r="H67" s="359">
        <f t="shared" si="29"/>
        <v>0</v>
      </c>
      <c r="I67" s="51">
        <f t="shared" si="6"/>
        <v>0</v>
      </c>
      <c r="J67" s="51"/>
      <c r="K67" s="112"/>
      <c r="L67" s="53">
        <f t="shared" si="30"/>
        <v>0</v>
      </c>
      <c r="M67" s="112"/>
      <c r="N67" s="53">
        <f t="shared" si="4"/>
        <v>0</v>
      </c>
      <c r="O67" s="53">
        <f t="shared" si="5"/>
        <v>0</v>
      </c>
      <c r="P67" s="1"/>
      <c r="R67" s="1"/>
      <c r="S67" s="1"/>
      <c r="T67" s="1"/>
      <c r="U67" s="1"/>
    </row>
    <row r="68" spans="2:21">
      <c r="B68" t="str">
        <f t="shared" si="0"/>
        <v/>
      </c>
      <c r="C68" s="49">
        <f>IF(D11="","-",+C67+1)</f>
        <v>2066</v>
      </c>
      <c r="D68" s="54">
        <f>IF(F67+SUM(E$17:E67)=D$10,F67,D$10-SUM(E$17:E67))</f>
        <v>0</v>
      </c>
      <c r="E68" s="377">
        <f t="shared" si="26"/>
        <v>0</v>
      </c>
      <c r="F68" s="54">
        <f t="shared" si="27"/>
        <v>0</v>
      </c>
      <c r="G68" s="378">
        <f t="shared" si="28"/>
        <v>0</v>
      </c>
      <c r="H68" s="359">
        <f t="shared" si="29"/>
        <v>0</v>
      </c>
      <c r="I68" s="51">
        <f t="shared" si="6"/>
        <v>0</v>
      </c>
      <c r="J68" s="51"/>
      <c r="K68" s="112"/>
      <c r="L68" s="53">
        <f t="shared" si="30"/>
        <v>0</v>
      </c>
      <c r="M68" s="112"/>
      <c r="N68" s="53">
        <f t="shared" si="4"/>
        <v>0</v>
      </c>
      <c r="O68" s="53">
        <f t="shared" si="5"/>
        <v>0</v>
      </c>
      <c r="P68" s="1"/>
      <c r="R68" s="1"/>
      <c r="S68" s="1"/>
      <c r="T68" s="1"/>
      <c r="U68" s="1"/>
    </row>
    <row r="69" spans="2:21">
      <c r="B69" t="str">
        <f t="shared" si="0"/>
        <v/>
      </c>
      <c r="C69" s="49">
        <f>IF(D11="","-",+C68+1)</f>
        <v>2067</v>
      </c>
      <c r="D69" s="54">
        <f>IF(F68+SUM(E$17:E68)=D$10,F68,D$10-SUM(E$17:E68))</f>
        <v>0</v>
      </c>
      <c r="E69" s="377">
        <f t="shared" si="26"/>
        <v>0</v>
      </c>
      <c r="F69" s="54">
        <f t="shared" si="27"/>
        <v>0</v>
      </c>
      <c r="G69" s="378">
        <f t="shared" si="28"/>
        <v>0</v>
      </c>
      <c r="H69" s="359">
        <f t="shared" si="29"/>
        <v>0</v>
      </c>
      <c r="I69" s="51">
        <f t="shared" si="6"/>
        <v>0</v>
      </c>
      <c r="J69" s="51"/>
      <c r="K69" s="112"/>
      <c r="L69" s="53">
        <f t="shared" si="30"/>
        <v>0</v>
      </c>
      <c r="M69" s="112"/>
      <c r="N69" s="53">
        <f t="shared" si="4"/>
        <v>0</v>
      </c>
      <c r="O69" s="53">
        <f t="shared" si="5"/>
        <v>0</v>
      </c>
      <c r="P69" s="1"/>
      <c r="R69" s="1"/>
      <c r="S69" s="1"/>
      <c r="T69" s="1"/>
      <c r="U69" s="1"/>
    </row>
    <row r="70" spans="2:21">
      <c r="B70" t="str">
        <f t="shared" si="0"/>
        <v/>
      </c>
      <c r="C70" s="49">
        <f>IF(D11="","-",+C69+1)</f>
        <v>2068</v>
      </c>
      <c r="D70" s="54">
        <f>IF(F69+SUM(E$17:E69)=D$10,F69,D$10-SUM(E$17:E69))</f>
        <v>0</v>
      </c>
      <c r="E70" s="377">
        <f t="shared" si="26"/>
        <v>0</v>
      </c>
      <c r="F70" s="54">
        <f t="shared" si="27"/>
        <v>0</v>
      </c>
      <c r="G70" s="378">
        <f t="shared" si="28"/>
        <v>0</v>
      </c>
      <c r="H70" s="359">
        <f t="shared" si="29"/>
        <v>0</v>
      </c>
      <c r="I70" s="51">
        <f t="shared" si="6"/>
        <v>0</v>
      </c>
      <c r="J70" s="51"/>
      <c r="K70" s="112"/>
      <c r="L70" s="53">
        <f t="shared" si="30"/>
        <v>0</v>
      </c>
      <c r="M70" s="112"/>
      <c r="N70" s="53">
        <f t="shared" si="4"/>
        <v>0</v>
      </c>
      <c r="O70" s="53">
        <f t="shared" si="5"/>
        <v>0</v>
      </c>
      <c r="P70" s="1"/>
      <c r="R70" s="1"/>
      <c r="S70" s="1"/>
      <c r="T70" s="1"/>
      <c r="U70" s="1"/>
    </row>
    <row r="71" spans="2:21">
      <c r="B71" t="str">
        <f t="shared" si="0"/>
        <v/>
      </c>
      <c r="C71" s="49">
        <f>IF(D11="","-",+C70+1)</f>
        <v>2069</v>
      </c>
      <c r="D71" s="54">
        <f>IF(F70+SUM(E$17:E70)=D$10,F70,D$10-SUM(E$17:E70))</f>
        <v>0</v>
      </c>
      <c r="E71" s="377">
        <f t="shared" si="26"/>
        <v>0</v>
      </c>
      <c r="F71" s="54">
        <f t="shared" si="27"/>
        <v>0</v>
      </c>
      <c r="G71" s="378">
        <f t="shared" si="28"/>
        <v>0</v>
      </c>
      <c r="H71" s="359">
        <f t="shared" si="29"/>
        <v>0</v>
      </c>
      <c r="I71" s="51">
        <f t="shared" si="6"/>
        <v>0</v>
      </c>
      <c r="J71" s="51"/>
      <c r="K71" s="112"/>
      <c r="L71" s="53">
        <f t="shared" si="30"/>
        <v>0</v>
      </c>
      <c r="M71" s="112"/>
      <c r="N71" s="53">
        <f t="shared" si="4"/>
        <v>0</v>
      </c>
      <c r="O71" s="53">
        <f t="shared" si="5"/>
        <v>0</v>
      </c>
      <c r="P71" s="1"/>
      <c r="R71" s="1"/>
      <c r="S71" s="1"/>
      <c r="T71" s="1"/>
      <c r="U71" s="1"/>
    </row>
    <row r="72" spans="2:21">
      <c r="B72" t="str">
        <f t="shared" si="0"/>
        <v/>
      </c>
      <c r="C72" s="49">
        <f>IF(D11="","-",+C71+1)</f>
        <v>2070</v>
      </c>
      <c r="D72" s="54">
        <f>IF(F71+SUM(E$17:E71)=D$10,F71,D$10-SUM(E$17:E71))</f>
        <v>0</v>
      </c>
      <c r="E72" s="377">
        <f t="shared" si="26"/>
        <v>0</v>
      </c>
      <c r="F72" s="54">
        <f t="shared" si="27"/>
        <v>0</v>
      </c>
      <c r="G72" s="378">
        <f t="shared" si="28"/>
        <v>0</v>
      </c>
      <c r="H72" s="359">
        <f t="shared" si="29"/>
        <v>0</v>
      </c>
      <c r="I72" s="51">
        <f t="shared" si="6"/>
        <v>0</v>
      </c>
      <c r="J72" s="51"/>
      <c r="K72" s="112"/>
      <c r="L72" s="53">
        <f t="shared" si="30"/>
        <v>0</v>
      </c>
      <c r="M72" s="112"/>
      <c r="N72" s="53">
        <f t="shared" si="4"/>
        <v>0</v>
      </c>
      <c r="O72" s="53">
        <f t="shared" si="5"/>
        <v>0</v>
      </c>
      <c r="P72" s="1"/>
      <c r="R72" s="1"/>
      <c r="S72" s="1"/>
      <c r="T72" s="1"/>
      <c r="U72" s="1"/>
    </row>
    <row r="73" spans="2:21" ht="13.5" thickBot="1">
      <c r="B73" t="str">
        <f t="shared" si="0"/>
        <v/>
      </c>
      <c r="C73" s="58">
        <f>IF(D11="","-",+C72+1)</f>
        <v>2071</v>
      </c>
      <c r="D73" s="54">
        <f>IF(F72+SUM(E$17:E72)=D$10,F72,D$10-SUM(E$17:E72))</f>
        <v>0</v>
      </c>
      <c r="E73" s="377">
        <f t="shared" si="26"/>
        <v>0</v>
      </c>
      <c r="F73" s="54">
        <f t="shared" si="27"/>
        <v>0</v>
      </c>
      <c r="G73" s="378">
        <f t="shared" si="28"/>
        <v>0</v>
      </c>
      <c r="H73" s="359">
        <f t="shared" si="29"/>
        <v>0</v>
      </c>
      <c r="I73" s="51">
        <f t="shared" si="6"/>
        <v>0</v>
      </c>
      <c r="J73" s="51"/>
      <c r="K73" s="113"/>
      <c r="L73" s="63">
        <f t="shared" si="30"/>
        <v>0</v>
      </c>
      <c r="M73" s="113"/>
      <c r="N73" s="63">
        <f t="shared" si="4"/>
        <v>0</v>
      </c>
      <c r="O73" s="63">
        <f t="shared" si="5"/>
        <v>0</v>
      </c>
      <c r="P73" s="1"/>
      <c r="R73" s="1"/>
      <c r="S73" s="1"/>
      <c r="T73" s="1"/>
      <c r="U73" s="1"/>
    </row>
    <row r="74" spans="2:21">
      <c r="C74" s="11" t="s">
        <v>75</v>
      </c>
      <c r="D74" s="242"/>
      <c r="E74" s="242">
        <f>SUM(E17:E73)</f>
        <v>8535103.9999999981</v>
      </c>
      <c r="F74" s="242"/>
      <c r="G74" s="242">
        <f>SUM(G17:G73)</f>
        <v>24365618.423410587</v>
      </c>
      <c r="H74" s="242">
        <f>SUM(H17:H73)</f>
        <v>24365618.423410587</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9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991533.62901091878</v>
      </c>
      <c r="N88" s="396">
        <f>IF(J93&lt;D11,0,VLOOKUP(J93,C17:O73,11))</f>
        <v>991533.62901091878</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878581.57778612711</v>
      </c>
      <c r="N89" s="399">
        <f>IF(J93&lt;D11,0,VLOOKUP(J93,C100:P155,7))</f>
        <v>878581.57778612711</v>
      </c>
      <c r="O89" s="70">
        <f>+N89-M89</f>
        <v>0</v>
      </c>
      <c r="P89" s="1"/>
      <c r="Q89" s="1"/>
      <c r="R89" s="1"/>
      <c r="S89" s="1"/>
      <c r="T89" s="1"/>
      <c r="U89" s="1"/>
    </row>
    <row r="90" spans="1:21" ht="13.5" thickBot="1">
      <c r="C90" s="25" t="s">
        <v>82</v>
      </c>
      <c r="D90" s="96" t="str">
        <f>+D7</f>
        <v>Prattville-Bluebell 138 kV</v>
      </c>
      <c r="E90" s="1"/>
      <c r="F90" s="1"/>
      <c r="G90" s="1"/>
      <c r="H90" s="1"/>
      <c r="I90" s="260"/>
      <c r="J90" s="260"/>
      <c r="K90" s="400"/>
      <c r="L90" s="109" t="s">
        <v>135</v>
      </c>
      <c r="M90" s="401">
        <f>+M89-M88</f>
        <v>-112952.05122479168</v>
      </c>
      <c r="N90" s="401">
        <f>+N89-N88</f>
        <v>-112952.05122479168</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441" t="str">
        <f>+D9</f>
        <v>TP2010094</v>
      </c>
      <c r="E92" s="75" t="s">
        <v>310</v>
      </c>
      <c r="F92" s="528">
        <f>F9</f>
        <v>879</v>
      </c>
      <c r="G92" s="75"/>
      <c r="H92" s="75"/>
      <c r="I92" s="75"/>
      <c r="J92" s="75"/>
      <c r="Q92" s="1"/>
      <c r="R92" s="1"/>
      <c r="S92" s="1"/>
      <c r="T92" s="1"/>
      <c r="U92" s="1"/>
    </row>
    <row r="93" spans="1:21">
      <c r="C93" s="34" t="s">
        <v>49</v>
      </c>
      <c r="D93" s="442">
        <v>8535104</v>
      </c>
      <c r="E93" s="1" t="s">
        <v>84</v>
      </c>
      <c r="H93" s="2"/>
      <c r="I93" s="2"/>
      <c r="J93" s="36">
        <f>+'OKT.WS.G.BPU.ATRR.True-up'!M16</f>
        <v>2025</v>
      </c>
      <c r="K93" s="33"/>
      <c r="L93" s="242" t="s">
        <v>85</v>
      </c>
      <c r="P93" s="1"/>
      <c r="Q93" s="1"/>
      <c r="R93" s="1"/>
      <c r="S93" s="1"/>
      <c r="T93" s="1"/>
      <c r="U93" s="1"/>
    </row>
    <row r="94" spans="1:21">
      <c r="C94" s="34" t="s">
        <v>52</v>
      </c>
      <c r="D94" s="85">
        <f>IF(D11=I10,"",D11)</f>
        <v>2015</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412">
        <f>IF(D11=I10,"",D12)</f>
        <v>6</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266722</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B100" t="str">
        <f t="shared" ref="B100:B155" si="33">IF(D100=F99,"","IU")</f>
        <v>IU</v>
      </c>
      <c r="C100" s="49">
        <f>IF(D94= "","-",D94)</f>
        <v>2015</v>
      </c>
      <c r="D100" s="433">
        <v>0</v>
      </c>
      <c r="E100" s="434">
        <v>102447.91666666666</v>
      </c>
      <c r="F100" s="435">
        <v>8327552.083333333</v>
      </c>
      <c r="G100" s="436">
        <v>4163776.0416666665</v>
      </c>
      <c r="H100" s="436">
        <v>565998.7241739725</v>
      </c>
      <c r="I100" s="436">
        <v>565998.7241739725</v>
      </c>
      <c r="J100" s="53">
        <v>0</v>
      </c>
      <c r="K100" s="53"/>
      <c r="L100" s="376">
        <f t="shared" ref="L100:L105" si="34">H100</f>
        <v>565998.7241739725</v>
      </c>
      <c r="M100" s="53">
        <f t="shared" ref="M100:M105" si="35">IF(L100&lt;&gt;0,+H100-L100,0)</f>
        <v>0</v>
      </c>
      <c r="N100" s="376">
        <f t="shared" ref="N100:N105" si="36">I100</f>
        <v>565998.7241739725</v>
      </c>
      <c r="O100" s="52">
        <f t="shared" ref="O100:O131" si="37">IF(N100&lt;&gt;0,+I100-N100,0)</f>
        <v>0</v>
      </c>
      <c r="P100" s="52">
        <f t="shared" ref="P100:P131" si="38">+O100-M100</f>
        <v>0</v>
      </c>
      <c r="Q100" s="1"/>
      <c r="R100" s="1"/>
      <c r="S100" s="1"/>
      <c r="T100" s="1"/>
      <c r="U100" s="1"/>
    </row>
    <row r="101" spans="1:21">
      <c r="B101" t="str">
        <f t="shared" si="33"/>
        <v>IU</v>
      </c>
      <c r="C101" s="49">
        <f>IF(D94="","-",+C100+1)</f>
        <v>2016</v>
      </c>
      <c r="D101" s="375">
        <v>8432656.083333334</v>
      </c>
      <c r="E101" s="373">
        <v>167354.98039215687</v>
      </c>
      <c r="F101" s="375">
        <v>8265301.1029411769</v>
      </c>
      <c r="G101" s="373">
        <v>8348978.5931372549</v>
      </c>
      <c r="H101" s="374">
        <v>1072129.2771965233</v>
      </c>
      <c r="I101" s="374">
        <v>1072129.2771965233</v>
      </c>
      <c r="J101" s="53">
        <f t="shared" ref="J101:J131" si="39">+I101-H101</f>
        <v>0</v>
      </c>
      <c r="K101" s="53"/>
      <c r="L101" s="376">
        <f t="shared" si="34"/>
        <v>1072129.2771965233</v>
      </c>
      <c r="M101" s="53">
        <f t="shared" si="35"/>
        <v>0</v>
      </c>
      <c r="N101" s="416">
        <f t="shared" si="36"/>
        <v>1072129.2771965233</v>
      </c>
      <c r="O101" s="416">
        <f>IF(N101&lt;&gt;0,+I101-N101,0)</f>
        <v>0</v>
      </c>
      <c r="P101" s="53">
        <f>+O101-M101</f>
        <v>0</v>
      </c>
      <c r="Q101" s="1"/>
      <c r="R101" s="1"/>
      <c r="S101" s="1"/>
      <c r="T101" s="1"/>
      <c r="U101" s="1"/>
    </row>
    <row r="102" spans="1:21">
      <c r="B102" t="str">
        <f t="shared" si="33"/>
        <v/>
      </c>
      <c r="C102" s="49">
        <f>IF(D94="","-",+C101+1)</f>
        <v>2017</v>
      </c>
      <c r="D102" s="375">
        <v>8265301.1029411769</v>
      </c>
      <c r="E102" s="373">
        <v>213377.6</v>
      </c>
      <c r="F102" s="375">
        <v>8051923.5029411772</v>
      </c>
      <c r="G102" s="373">
        <v>8158612.302941177</v>
      </c>
      <c r="H102" s="374">
        <v>1170675.4253324734</v>
      </c>
      <c r="I102" s="374">
        <v>1170675.4253324734</v>
      </c>
      <c r="J102" s="53">
        <f t="shared" si="39"/>
        <v>0</v>
      </c>
      <c r="K102" s="53"/>
      <c r="L102" s="376">
        <f t="shared" si="34"/>
        <v>1170675.4253324734</v>
      </c>
      <c r="M102" s="53">
        <f t="shared" si="35"/>
        <v>0</v>
      </c>
      <c r="N102" s="416">
        <f t="shared" si="36"/>
        <v>1170675.4253324734</v>
      </c>
      <c r="O102" s="416">
        <f>IF(N102&lt;&gt;0,+I102-N102,0)</f>
        <v>0</v>
      </c>
      <c r="P102" s="53">
        <f>+O102-M102</f>
        <v>0</v>
      </c>
      <c r="Q102" s="1"/>
      <c r="R102" s="1"/>
      <c r="S102" s="1"/>
      <c r="T102" s="1"/>
      <c r="U102" s="1"/>
    </row>
    <row r="103" spans="1:21">
      <c r="B103" t="str">
        <f t="shared" si="33"/>
        <v/>
      </c>
      <c r="C103" s="49">
        <f>IF(D94="","-",+C102+1)</f>
        <v>2018</v>
      </c>
      <c r="D103" s="375">
        <v>8051923.5029411772</v>
      </c>
      <c r="E103" s="373">
        <v>237086.22222222222</v>
      </c>
      <c r="F103" s="375">
        <v>7814837.2807189552</v>
      </c>
      <c r="G103" s="373">
        <v>7933380.3918300662</v>
      </c>
      <c r="H103" s="374">
        <v>1074553.2860184449</v>
      </c>
      <c r="I103" s="374">
        <v>1074553.2860184449</v>
      </c>
      <c r="J103" s="53">
        <f t="shared" si="39"/>
        <v>0</v>
      </c>
      <c r="K103" s="53"/>
      <c r="L103" s="376">
        <f t="shared" si="34"/>
        <v>1074553.2860184449</v>
      </c>
      <c r="M103" s="53">
        <f t="shared" si="35"/>
        <v>0</v>
      </c>
      <c r="N103" s="416">
        <f t="shared" si="36"/>
        <v>1074553.2860184449</v>
      </c>
      <c r="O103" s="416">
        <f>IF(N103&lt;&gt;0,+I103-N103,0)</f>
        <v>0</v>
      </c>
      <c r="P103" s="53">
        <f>+O103-M103</f>
        <v>0</v>
      </c>
      <c r="Q103" s="1"/>
      <c r="R103" s="1"/>
      <c r="S103" s="1"/>
      <c r="T103" s="1"/>
      <c r="U103" s="1"/>
    </row>
    <row r="104" spans="1:21">
      <c r="B104" t="str">
        <f t="shared" si="33"/>
        <v/>
      </c>
      <c r="C104" s="49">
        <f>IF(D94="","-",+C103+1)</f>
        <v>2019</v>
      </c>
      <c r="D104" s="375">
        <v>7814837.2807189552</v>
      </c>
      <c r="E104" s="373">
        <v>237086.22222222222</v>
      </c>
      <c r="F104" s="375">
        <v>7577751.0584967332</v>
      </c>
      <c r="G104" s="373">
        <v>7696294.1696078442</v>
      </c>
      <c r="H104" s="374">
        <v>1049525.8837530178</v>
      </c>
      <c r="I104" s="374">
        <v>1049525.8837530178</v>
      </c>
      <c r="J104" s="53">
        <f t="shared" si="39"/>
        <v>0</v>
      </c>
      <c r="K104" s="53"/>
      <c r="L104" s="376">
        <f t="shared" si="34"/>
        <v>1049525.8837530178</v>
      </c>
      <c r="M104" s="53">
        <f t="shared" si="35"/>
        <v>0</v>
      </c>
      <c r="N104" s="416">
        <f t="shared" si="36"/>
        <v>1049525.8837530178</v>
      </c>
      <c r="O104" s="53">
        <f t="shared" si="37"/>
        <v>0</v>
      </c>
      <c r="P104" s="53">
        <f t="shared" si="38"/>
        <v>0</v>
      </c>
      <c r="Q104" s="1"/>
      <c r="R104" s="1"/>
      <c r="S104" s="1"/>
      <c r="T104" s="1"/>
      <c r="U104" s="1"/>
    </row>
    <row r="105" spans="1:21">
      <c r="B105" t="str">
        <f t="shared" si="33"/>
        <v/>
      </c>
      <c r="C105" s="49">
        <f>IF(D94="","-",+C104+1)</f>
        <v>2020</v>
      </c>
      <c r="D105" s="375">
        <v>7577751.0584967332</v>
      </c>
      <c r="E105" s="373">
        <v>304825.14285714284</v>
      </c>
      <c r="F105" s="375">
        <v>7272925.9156395905</v>
      </c>
      <c r="G105" s="373">
        <v>7425338.4870681614</v>
      </c>
      <c r="H105" s="374">
        <v>1094981.3923049036</v>
      </c>
      <c r="I105" s="374">
        <v>1094981.3923049036</v>
      </c>
      <c r="J105" s="53">
        <f t="shared" si="39"/>
        <v>0</v>
      </c>
      <c r="K105" s="53"/>
      <c r="L105" s="376">
        <f t="shared" si="34"/>
        <v>1094981.3923049036</v>
      </c>
      <c r="M105" s="53">
        <f t="shared" si="35"/>
        <v>0</v>
      </c>
      <c r="N105" s="416">
        <f t="shared" si="36"/>
        <v>1094981.3923049036</v>
      </c>
      <c r="O105" s="53">
        <f t="shared" si="37"/>
        <v>0</v>
      </c>
      <c r="P105" s="53">
        <f t="shared" si="38"/>
        <v>0</v>
      </c>
      <c r="Q105" s="1"/>
      <c r="R105" s="1"/>
      <c r="S105" s="1"/>
      <c r="T105" s="1"/>
      <c r="U105" s="1"/>
    </row>
    <row r="106" spans="1:21">
      <c r="B106" t="str">
        <f t="shared" si="33"/>
        <v/>
      </c>
      <c r="C106" s="49">
        <f>IF(D94="","-",+C105+1)</f>
        <v>2021</v>
      </c>
      <c r="D106" s="375">
        <v>7272925.9156395905</v>
      </c>
      <c r="E106" s="373">
        <v>341404.15999999997</v>
      </c>
      <c r="F106" s="375">
        <v>6931521.7556395903</v>
      </c>
      <c r="G106" s="373">
        <v>7102223.8356395904</v>
      </c>
      <c r="H106" s="374">
        <v>1179196.7813973147</v>
      </c>
      <c r="I106" s="374">
        <v>1179196.7813973147</v>
      </c>
      <c r="J106" s="53">
        <f t="shared" si="39"/>
        <v>0</v>
      </c>
      <c r="K106" s="53"/>
      <c r="L106" s="376">
        <f t="shared" ref="L106" si="40">H106</f>
        <v>1179196.7813973147</v>
      </c>
      <c r="M106" s="53">
        <f t="shared" ref="M106" si="41">IF(L106&lt;&gt;0,+H106-L106,0)</f>
        <v>0</v>
      </c>
      <c r="N106" s="416">
        <f t="shared" ref="N106" si="42">I106</f>
        <v>1179196.7813973147</v>
      </c>
      <c r="O106" s="53">
        <f t="shared" si="37"/>
        <v>0</v>
      </c>
      <c r="P106" s="53">
        <f t="shared" si="38"/>
        <v>0</v>
      </c>
      <c r="Q106" s="1"/>
      <c r="R106" s="1"/>
      <c r="S106" s="1"/>
      <c r="T106" s="1"/>
      <c r="U106" s="1"/>
    </row>
    <row r="107" spans="1:21">
      <c r="B107" t="str">
        <f t="shared" si="33"/>
        <v/>
      </c>
      <c r="C107" s="49">
        <f>IF(D94="","-",+C106+1)</f>
        <v>2022</v>
      </c>
      <c r="D107" s="375">
        <v>6931521.7556395903</v>
      </c>
      <c r="E107" s="373">
        <v>406433.52380952379</v>
      </c>
      <c r="F107" s="375">
        <v>6525088.2318300661</v>
      </c>
      <c r="G107" s="373">
        <v>6728304.9937348282</v>
      </c>
      <c r="H107" s="374">
        <v>1179959.9433506974</v>
      </c>
      <c r="I107" s="374">
        <v>1179959.9433506974</v>
      </c>
      <c r="J107" s="53">
        <f t="shared" si="39"/>
        <v>0</v>
      </c>
      <c r="K107" s="53"/>
      <c r="L107" s="376">
        <f t="shared" ref="L107" si="43">H107</f>
        <v>1179959.9433506974</v>
      </c>
      <c r="M107" s="53">
        <f t="shared" ref="M107" si="44">IF(L107&lt;&gt;0,+H107-L107,0)</f>
        <v>0</v>
      </c>
      <c r="N107" s="416">
        <f t="shared" ref="N107" si="45">I107</f>
        <v>1179959.9433506974</v>
      </c>
      <c r="O107" s="53">
        <f t="shared" ref="O107" si="46">IF(N107&lt;&gt;0,+I107-N107,0)</f>
        <v>0</v>
      </c>
      <c r="P107" s="53">
        <f t="shared" ref="P107" si="47">+O107-M107</f>
        <v>0</v>
      </c>
      <c r="Q107" s="1"/>
      <c r="R107" s="1"/>
      <c r="S107" s="1"/>
      <c r="T107" s="1"/>
      <c r="U107" s="1"/>
    </row>
    <row r="108" spans="1:21">
      <c r="B108" t="str">
        <f t="shared" si="33"/>
        <v/>
      </c>
      <c r="C108" s="49">
        <f>IF(D94="","-",+C107+1)</f>
        <v>2023</v>
      </c>
      <c r="D108" s="375">
        <v>6525088.2318300661</v>
      </c>
      <c r="E108" s="373">
        <v>449216</v>
      </c>
      <c r="F108" s="375">
        <v>6075872.2318300661</v>
      </c>
      <c r="G108" s="373">
        <v>6300480.2318300661</v>
      </c>
      <c r="H108" s="374">
        <v>1139963.8590299715</v>
      </c>
      <c r="I108" s="374">
        <v>1139963.8590299715</v>
      </c>
      <c r="J108" s="53">
        <f t="shared" si="39"/>
        <v>0</v>
      </c>
      <c r="K108" s="53"/>
      <c r="L108" s="376">
        <f t="shared" ref="L108" si="48">H108</f>
        <v>1139963.8590299715</v>
      </c>
      <c r="M108" s="53">
        <f t="shared" ref="M108" si="49">IF(L108&lt;&gt;0,+H108-L108,0)</f>
        <v>0</v>
      </c>
      <c r="N108" s="416">
        <f t="shared" ref="N108" si="50">I108</f>
        <v>1139963.8590299715</v>
      </c>
      <c r="O108" s="53">
        <f t="shared" ref="O108" si="51">IF(N108&lt;&gt;0,+I108-N108,0)</f>
        <v>0</v>
      </c>
      <c r="P108" s="53">
        <f t="shared" ref="P108" si="52">+O108-M108</f>
        <v>0</v>
      </c>
      <c r="Q108" s="1"/>
      <c r="R108" s="1"/>
      <c r="S108" s="1"/>
      <c r="T108" s="1"/>
      <c r="U108" s="1"/>
    </row>
    <row r="109" spans="1:21">
      <c r="B109" t="str">
        <f t="shared" si="33"/>
        <v/>
      </c>
      <c r="C109" s="49">
        <f>IF(D94="","-",+C108+1)</f>
        <v>2024</v>
      </c>
      <c r="D109" s="375">
        <v>6075872.2318300661</v>
      </c>
      <c r="E109" s="373">
        <v>502064.9411764706</v>
      </c>
      <c r="F109" s="375">
        <v>5573807.2906535957</v>
      </c>
      <c r="G109" s="373">
        <v>5824839.7612418309</v>
      </c>
      <c r="H109" s="374">
        <v>1147021.518776359</v>
      </c>
      <c r="I109" s="374">
        <v>1147021.518776359</v>
      </c>
      <c r="J109" s="53">
        <f t="shared" si="39"/>
        <v>0</v>
      </c>
      <c r="K109" s="53"/>
      <c r="L109" s="376">
        <f t="shared" ref="L109" si="53">H109</f>
        <v>1147021.518776359</v>
      </c>
      <c r="M109" s="53">
        <f t="shared" ref="M109" si="54">IF(L109&lt;&gt;0,+H109-L109,0)</f>
        <v>0</v>
      </c>
      <c r="N109" s="416">
        <f t="shared" ref="N109" si="55">I109</f>
        <v>1147021.518776359</v>
      </c>
      <c r="O109" s="53">
        <f t="shared" ref="O109" si="56">IF(N109&lt;&gt;0,+I109-N109,0)</f>
        <v>0</v>
      </c>
      <c r="P109" s="53">
        <f t="shared" ref="P109" si="57">+O109-M109</f>
        <v>0</v>
      </c>
      <c r="Q109" s="1"/>
      <c r="R109" s="1"/>
      <c r="S109" s="1"/>
      <c r="T109" s="1"/>
      <c r="U109" s="1"/>
    </row>
    <row r="110" spans="1:21">
      <c r="B110" t="str">
        <f t="shared" si="33"/>
        <v/>
      </c>
      <c r="C110" s="49">
        <f>IF(D94="","-",+C109+1)</f>
        <v>2025</v>
      </c>
      <c r="D110" s="11">
        <f>IF(F109+SUM(E$100:E109)=D$93,F109,D$93-SUM(E$100:E109))</f>
        <v>5573807.2906535957</v>
      </c>
      <c r="E110" s="377">
        <f>IF(+J97&lt;F109,J97,D110)</f>
        <v>266722</v>
      </c>
      <c r="F110" s="54">
        <f t="shared" ref="F110:F155" si="58">+D110-E110</f>
        <v>5307085.2906535957</v>
      </c>
      <c r="G110" s="54">
        <f t="shared" ref="G110:G155" si="59">+(F110+D110)/2</f>
        <v>5440446.2906535957</v>
      </c>
      <c r="H110" s="459">
        <f t="shared" ref="H110:H155" si="60">(D110+F110)/2*J$95+E110</f>
        <v>878581.57778612711</v>
      </c>
      <c r="I110" s="407">
        <f t="shared" ref="I110:I155" si="61">+J$96*G110+E110</f>
        <v>878581.57778612711</v>
      </c>
      <c r="J110" s="53">
        <f t="shared" si="39"/>
        <v>0</v>
      </c>
      <c r="K110" s="53"/>
      <c r="L110" s="112"/>
      <c r="M110" s="53">
        <f t="shared" ref="M110:M131" si="62">IF(L110&lt;&gt;0,+H110-L110,0)</f>
        <v>0</v>
      </c>
      <c r="N110" s="112"/>
      <c r="O110" s="53">
        <f t="shared" si="37"/>
        <v>0</v>
      </c>
      <c r="P110" s="53">
        <f t="shared" si="38"/>
        <v>0</v>
      </c>
      <c r="Q110" s="1"/>
      <c r="R110" s="1"/>
      <c r="S110" s="1"/>
      <c r="T110" s="1"/>
      <c r="U110" s="1"/>
    </row>
    <row r="111" spans="1:21">
      <c r="B111" t="str">
        <f t="shared" si="33"/>
        <v/>
      </c>
      <c r="C111" s="49">
        <f>IF(D94="","-",+C110+1)</f>
        <v>2026</v>
      </c>
      <c r="D111" s="11">
        <f>IF(F110+SUM(E$100:E110)=D$93,F110,D$93-SUM(E$100:E110))</f>
        <v>5307085.2906535957</v>
      </c>
      <c r="E111" s="377">
        <f>IF(+J97&lt;F110,J97,D111)</f>
        <v>266722</v>
      </c>
      <c r="F111" s="54">
        <f t="shared" si="58"/>
        <v>5040363.2906535957</v>
      </c>
      <c r="G111" s="54">
        <f t="shared" si="59"/>
        <v>5173724.2906535957</v>
      </c>
      <c r="H111" s="459">
        <f t="shared" si="60"/>
        <v>848584.69856196595</v>
      </c>
      <c r="I111" s="407">
        <f t="shared" si="61"/>
        <v>848584.69856196595</v>
      </c>
      <c r="J111" s="53">
        <f t="shared" si="39"/>
        <v>0</v>
      </c>
      <c r="K111" s="53"/>
      <c r="L111" s="112"/>
      <c r="M111" s="53">
        <f t="shared" si="62"/>
        <v>0</v>
      </c>
      <c r="N111" s="112"/>
      <c r="O111" s="53">
        <f t="shared" si="37"/>
        <v>0</v>
      </c>
      <c r="P111" s="53">
        <f t="shared" si="38"/>
        <v>0</v>
      </c>
      <c r="Q111" s="1"/>
      <c r="R111" s="1"/>
      <c r="S111" s="1"/>
      <c r="T111" s="1"/>
      <c r="U111" s="1"/>
    </row>
    <row r="112" spans="1:21">
      <c r="B112" t="str">
        <f t="shared" si="33"/>
        <v/>
      </c>
      <c r="C112" s="49">
        <f>IF(D94="","-",+C111+1)</f>
        <v>2027</v>
      </c>
      <c r="D112" s="11">
        <f>IF(F111+SUM(E$100:E111)=D$93,F111,D$93-SUM(E$100:E111))</f>
        <v>5040363.2906535957</v>
      </c>
      <c r="E112" s="377">
        <f>IF(+J97&lt;F111,J97,D112)</f>
        <v>266722</v>
      </c>
      <c r="F112" s="54">
        <f t="shared" si="58"/>
        <v>4773641.2906535957</v>
      </c>
      <c r="G112" s="54">
        <f t="shared" si="59"/>
        <v>4907002.2906535957</v>
      </c>
      <c r="H112" s="459">
        <f t="shared" si="60"/>
        <v>818587.8193378048</v>
      </c>
      <c r="I112" s="407">
        <f t="shared" si="61"/>
        <v>818587.8193378048</v>
      </c>
      <c r="J112" s="53">
        <f t="shared" si="39"/>
        <v>0</v>
      </c>
      <c r="K112" s="53"/>
      <c r="L112" s="112"/>
      <c r="M112" s="53">
        <f t="shared" si="62"/>
        <v>0</v>
      </c>
      <c r="N112" s="112"/>
      <c r="O112" s="53">
        <f t="shared" si="37"/>
        <v>0</v>
      </c>
      <c r="P112" s="53">
        <f t="shared" si="38"/>
        <v>0</v>
      </c>
      <c r="Q112" s="1"/>
      <c r="R112" s="1"/>
      <c r="S112" s="1"/>
      <c r="T112" s="1"/>
      <c r="U112" s="1"/>
    </row>
    <row r="113" spans="2:21">
      <c r="B113" t="str">
        <f t="shared" si="33"/>
        <v/>
      </c>
      <c r="C113" s="49">
        <f>IF(D94="","-",+C112+1)</f>
        <v>2028</v>
      </c>
      <c r="D113" s="11">
        <f>IF(F112+SUM(E$100:E112)=D$93,F112,D$93-SUM(E$100:E112))</f>
        <v>4773641.2906535957</v>
      </c>
      <c r="E113" s="377">
        <f>IF(+J97&lt;F112,J97,D113)</f>
        <v>266722</v>
      </c>
      <c r="F113" s="54">
        <f t="shared" si="58"/>
        <v>4506919.2906535957</v>
      </c>
      <c r="G113" s="54">
        <f t="shared" si="59"/>
        <v>4640280.2906535957</v>
      </c>
      <c r="H113" s="459">
        <f t="shared" si="60"/>
        <v>788590.94011364365</v>
      </c>
      <c r="I113" s="407">
        <f t="shared" si="61"/>
        <v>788590.94011364365</v>
      </c>
      <c r="J113" s="53">
        <f t="shared" si="39"/>
        <v>0</v>
      </c>
      <c r="K113" s="53"/>
      <c r="L113" s="112"/>
      <c r="M113" s="53">
        <f t="shared" si="62"/>
        <v>0</v>
      </c>
      <c r="N113" s="112"/>
      <c r="O113" s="53">
        <f t="shared" si="37"/>
        <v>0</v>
      </c>
      <c r="P113" s="53">
        <f t="shared" si="38"/>
        <v>0</v>
      </c>
      <c r="Q113" s="1"/>
      <c r="R113" s="1"/>
      <c r="S113" s="1"/>
      <c r="T113" s="1"/>
      <c r="U113" s="1"/>
    </row>
    <row r="114" spans="2:21">
      <c r="B114" t="str">
        <f t="shared" si="33"/>
        <v/>
      </c>
      <c r="C114" s="49">
        <f>IF(D94="","-",+C113+1)</f>
        <v>2029</v>
      </c>
      <c r="D114" s="11">
        <f>IF(F113+SUM(E$100:E113)=D$93,F113,D$93-SUM(E$100:E113))</f>
        <v>4506919.2906535957</v>
      </c>
      <c r="E114" s="377">
        <f>IF(+J97&lt;F113,J97,D114)</f>
        <v>266722</v>
      </c>
      <c r="F114" s="54">
        <f t="shared" si="58"/>
        <v>4240197.2906535957</v>
      </c>
      <c r="G114" s="54">
        <f t="shared" si="59"/>
        <v>4373558.2906535957</v>
      </c>
      <c r="H114" s="459">
        <f t="shared" si="60"/>
        <v>758594.0608894825</v>
      </c>
      <c r="I114" s="407">
        <f t="shared" si="61"/>
        <v>758594.0608894825</v>
      </c>
      <c r="J114" s="53">
        <f t="shared" si="39"/>
        <v>0</v>
      </c>
      <c r="K114" s="53"/>
      <c r="L114" s="112"/>
      <c r="M114" s="53">
        <f t="shared" si="62"/>
        <v>0</v>
      </c>
      <c r="N114" s="112"/>
      <c r="O114" s="53">
        <f t="shared" si="37"/>
        <v>0</v>
      </c>
      <c r="P114" s="53">
        <f t="shared" si="38"/>
        <v>0</v>
      </c>
      <c r="Q114" s="1"/>
      <c r="R114" s="1"/>
      <c r="S114" s="1"/>
      <c r="T114" s="1"/>
      <c r="U114" s="1"/>
    </row>
    <row r="115" spans="2:21">
      <c r="B115" t="str">
        <f t="shared" si="33"/>
        <v/>
      </c>
      <c r="C115" s="49">
        <f>IF(D94="","-",+C114+1)</f>
        <v>2030</v>
      </c>
      <c r="D115" s="11">
        <f>IF(F114+SUM(E$100:E114)=D$93,F114,D$93-SUM(E$100:E114))</f>
        <v>4240197.2906535957</v>
      </c>
      <c r="E115" s="377">
        <f>IF(+J97&lt;F114,J97,D115)</f>
        <v>266722</v>
      </c>
      <c r="F115" s="54">
        <f t="shared" si="58"/>
        <v>3973475.2906535957</v>
      </c>
      <c r="G115" s="54">
        <f t="shared" si="59"/>
        <v>4106836.2906535957</v>
      </c>
      <c r="H115" s="459">
        <f t="shared" si="60"/>
        <v>728597.18166532135</v>
      </c>
      <c r="I115" s="407">
        <f t="shared" si="61"/>
        <v>728597.18166532135</v>
      </c>
      <c r="J115" s="53">
        <f t="shared" si="39"/>
        <v>0</v>
      </c>
      <c r="K115" s="53"/>
      <c r="L115" s="112"/>
      <c r="M115" s="53">
        <f t="shared" si="62"/>
        <v>0</v>
      </c>
      <c r="N115" s="112"/>
      <c r="O115" s="53">
        <f t="shared" si="37"/>
        <v>0</v>
      </c>
      <c r="P115" s="53">
        <f t="shared" si="38"/>
        <v>0</v>
      </c>
      <c r="Q115" s="1"/>
      <c r="R115" s="1"/>
      <c r="S115" s="1"/>
      <c r="T115" s="1"/>
      <c r="U115" s="1"/>
    </row>
    <row r="116" spans="2:21">
      <c r="B116" t="str">
        <f t="shared" si="33"/>
        <v/>
      </c>
      <c r="C116" s="49">
        <f>IF(D94="","-",+C115+1)</f>
        <v>2031</v>
      </c>
      <c r="D116" s="11">
        <f>IF(F115+SUM(E$100:E115)=D$93,F115,D$93-SUM(E$100:E115))</f>
        <v>3973475.2906535957</v>
      </c>
      <c r="E116" s="377">
        <f>IF(+J97&lt;F115,J97,D116)</f>
        <v>266722</v>
      </c>
      <c r="F116" s="54">
        <f t="shared" si="58"/>
        <v>3706753.2906535957</v>
      </c>
      <c r="G116" s="54">
        <f t="shared" si="59"/>
        <v>3840114.2906535957</v>
      </c>
      <c r="H116" s="459">
        <f t="shared" si="60"/>
        <v>698600.30244116019</v>
      </c>
      <c r="I116" s="407">
        <f t="shared" si="61"/>
        <v>698600.30244116019</v>
      </c>
      <c r="J116" s="53">
        <f t="shared" si="39"/>
        <v>0</v>
      </c>
      <c r="K116" s="53"/>
      <c r="L116" s="112"/>
      <c r="M116" s="53">
        <f t="shared" si="62"/>
        <v>0</v>
      </c>
      <c r="N116" s="112"/>
      <c r="O116" s="53">
        <f t="shared" si="37"/>
        <v>0</v>
      </c>
      <c r="P116" s="53">
        <f t="shared" si="38"/>
        <v>0</v>
      </c>
      <c r="Q116" s="1"/>
      <c r="R116" s="1"/>
      <c r="S116" s="1"/>
      <c r="T116" s="1"/>
      <c r="U116" s="1"/>
    </row>
    <row r="117" spans="2:21">
      <c r="B117" t="str">
        <f t="shared" si="33"/>
        <v/>
      </c>
      <c r="C117" s="49">
        <f>IF(D94="","-",+C116+1)</f>
        <v>2032</v>
      </c>
      <c r="D117" s="11">
        <f>IF(F116+SUM(E$100:E116)=D$93,F116,D$93-SUM(E$100:E116))</f>
        <v>3706753.2906535957</v>
      </c>
      <c r="E117" s="377">
        <f>IF(+J97&lt;F116,J97,D117)</f>
        <v>266722</v>
      </c>
      <c r="F117" s="54">
        <f t="shared" si="58"/>
        <v>3440031.2906535957</v>
      </c>
      <c r="G117" s="54">
        <f t="shared" si="59"/>
        <v>3573392.2906535957</v>
      </c>
      <c r="H117" s="459">
        <f t="shared" si="60"/>
        <v>668603.42321699904</v>
      </c>
      <c r="I117" s="407">
        <f t="shared" si="61"/>
        <v>668603.42321699904</v>
      </c>
      <c r="J117" s="53">
        <f t="shared" si="39"/>
        <v>0</v>
      </c>
      <c r="K117" s="53"/>
      <c r="L117" s="112"/>
      <c r="M117" s="53">
        <f t="shared" si="62"/>
        <v>0</v>
      </c>
      <c r="N117" s="112"/>
      <c r="O117" s="53">
        <f t="shared" si="37"/>
        <v>0</v>
      </c>
      <c r="P117" s="53">
        <f t="shared" si="38"/>
        <v>0</v>
      </c>
      <c r="Q117" s="1"/>
      <c r="R117" s="1"/>
      <c r="S117" s="1"/>
      <c r="T117" s="1"/>
      <c r="U117" s="1"/>
    </row>
    <row r="118" spans="2:21">
      <c r="B118" t="str">
        <f t="shared" si="33"/>
        <v/>
      </c>
      <c r="C118" s="49">
        <f>IF(D94="","-",+C117+1)</f>
        <v>2033</v>
      </c>
      <c r="D118" s="11">
        <f>IF(F117+SUM(E$100:E117)=D$93,F117,D$93-SUM(E$100:E117))</f>
        <v>3440031.2906535957</v>
      </c>
      <c r="E118" s="377">
        <f>IF(+J97&lt;F117,J97,D118)</f>
        <v>266722</v>
      </c>
      <c r="F118" s="54">
        <f t="shared" si="58"/>
        <v>3173309.2906535957</v>
      </c>
      <c r="G118" s="54">
        <f t="shared" si="59"/>
        <v>3306670.2906535957</v>
      </c>
      <c r="H118" s="459">
        <f t="shared" si="60"/>
        <v>638606.54399283789</v>
      </c>
      <c r="I118" s="407">
        <f t="shared" si="61"/>
        <v>638606.54399283789</v>
      </c>
      <c r="J118" s="53">
        <f t="shared" si="39"/>
        <v>0</v>
      </c>
      <c r="K118" s="53"/>
      <c r="L118" s="112"/>
      <c r="M118" s="53">
        <f t="shared" si="62"/>
        <v>0</v>
      </c>
      <c r="N118" s="112"/>
      <c r="O118" s="53">
        <f t="shared" si="37"/>
        <v>0</v>
      </c>
      <c r="P118" s="53">
        <f t="shared" si="38"/>
        <v>0</v>
      </c>
      <c r="Q118" s="1"/>
      <c r="R118" s="1"/>
      <c r="S118" s="1"/>
      <c r="T118" s="1"/>
      <c r="U118" s="1"/>
    </row>
    <row r="119" spans="2:21">
      <c r="B119" t="str">
        <f t="shared" si="33"/>
        <v/>
      </c>
      <c r="C119" s="49">
        <f>IF(D94="","-",+C118+1)</f>
        <v>2034</v>
      </c>
      <c r="D119" s="11">
        <f>IF(F118+SUM(E$100:E118)=D$93,F118,D$93-SUM(E$100:E118))</f>
        <v>3173309.2906535957</v>
      </c>
      <c r="E119" s="377">
        <f>IF(+J97&lt;F118,J97,D119)</f>
        <v>266722</v>
      </c>
      <c r="F119" s="54">
        <f t="shared" si="58"/>
        <v>2906587.2906535957</v>
      </c>
      <c r="G119" s="54">
        <f t="shared" si="59"/>
        <v>3039948.2906535957</v>
      </c>
      <c r="H119" s="459">
        <f t="shared" si="60"/>
        <v>608609.66476867674</v>
      </c>
      <c r="I119" s="407">
        <f t="shared" si="61"/>
        <v>608609.66476867674</v>
      </c>
      <c r="J119" s="53">
        <f t="shared" si="39"/>
        <v>0</v>
      </c>
      <c r="K119" s="53"/>
      <c r="L119" s="112"/>
      <c r="M119" s="53">
        <f t="shared" si="62"/>
        <v>0</v>
      </c>
      <c r="N119" s="112"/>
      <c r="O119" s="53">
        <f t="shared" si="37"/>
        <v>0</v>
      </c>
      <c r="P119" s="53">
        <f t="shared" si="38"/>
        <v>0</v>
      </c>
      <c r="Q119" s="1"/>
      <c r="R119" s="1"/>
      <c r="S119" s="1"/>
      <c r="T119" s="1"/>
      <c r="U119" s="1"/>
    </row>
    <row r="120" spans="2:21">
      <c r="B120" t="str">
        <f t="shared" si="33"/>
        <v/>
      </c>
      <c r="C120" s="49">
        <f>IF(D94="","-",+C119+1)</f>
        <v>2035</v>
      </c>
      <c r="D120" s="11">
        <f>IF(F119+SUM(E$100:E119)=D$93,F119,D$93-SUM(E$100:E119))</f>
        <v>2906587.2906535957</v>
      </c>
      <c r="E120" s="377">
        <f>IF(+J97&lt;F119,J97,D120)</f>
        <v>266722</v>
      </c>
      <c r="F120" s="54">
        <f t="shared" si="58"/>
        <v>2639865.2906535957</v>
      </c>
      <c r="G120" s="54">
        <f t="shared" si="59"/>
        <v>2773226.2906535957</v>
      </c>
      <c r="H120" s="459">
        <f t="shared" si="60"/>
        <v>578612.78554451559</v>
      </c>
      <c r="I120" s="407">
        <f t="shared" si="61"/>
        <v>578612.78554451559</v>
      </c>
      <c r="J120" s="53">
        <f t="shared" si="39"/>
        <v>0</v>
      </c>
      <c r="K120" s="53"/>
      <c r="L120" s="112"/>
      <c r="M120" s="53">
        <f t="shared" si="62"/>
        <v>0</v>
      </c>
      <c r="N120" s="112"/>
      <c r="O120" s="53">
        <f t="shared" si="37"/>
        <v>0</v>
      </c>
      <c r="P120" s="53">
        <f t="shared" si="38"/>
        <v>0</v>
      </c>
      <c r="Q120" s="1"/>
      <c r="R120" s="1"/>
      <c r="S120" s="1"/>
      <c r="T120" s="1"/>
      <c r="U120" s="1"/>
    </row>
    <row r="121" spans="2:21">
      <c r="B121" t="str">
        <f t="shared" si="33"/>
        <v/>
      </c>
      <c r="C121" s="49">
        <f>IF(D94="","-",+C120+1)</f>
        <v>2036</v>
      </c>
      <c r="D121" s="11">
        <f>IF(F120+SUM(E$100:E120)=D$93,F120,D$93-SUM(E$100:E120))</f>
        <v>2639865.2906535957</v>
      </c>
      <c r="E121" s="377">
        <f>IF(+J97&lt;F120,J97,D121)</f>
        <v>266722</v>
      </c>
      <c r="F121" s="54">
        <f t="shared" si="58"/>
        <v>2373143.2906535957</v>
      </c>
      <c r="G121" s="54">
        <f t="shared" si="59"/>
        <v>2506504.2906535957</v>
      </c>
      <c r="H121" s="459">
        <f t="shared" si="60"/>
        <v>548615.90632035455</v>
      </c>
      <c r="I121" s="407">
        <f t="shared" si="61"/>
        <v>548615.90632035455</v>
      </c>
      <c r="J121" s="53">
        <f t="shared" si="39"/>
        <v>0</v>
      </c>
      <c r="K121" s="53"/>
      <c r="L121" s="112"/>
      <c r="M121" s="53">
        <f t="shared" si="62"/>
        <v>0</v>
      </c>
      <c r="N121" s="112"/>
      <c r="O121" s="53">
        <f t="shared" si="37"/>
        <v>0</v>
      </c>
      <c r="P121" s="53">
        <f t="shared" si="38"/>
        <v>0</v>
      </c>
      <c r="Q121" s="1"/>
      <c r="R121" s="1"/>
      <c r="S121" s="1"/>
      <c r="T121" s="1"/>
      <c r="U121" s="1"/>
    </row>
    <row r="122" spans="2:21">
      <c r="B122" t="str">
        <f t="shared" si="33"/>
        <v/>
      </c>
      <c r="C122" s="49">
        <f>IF(D94="","-",+C121+1)</f>
        <v>2037</v>
      </c>
      <c r="D122" s="11">
        <f>IF(F121+SUM(E$100:E121)=D$93,F121,D$93-SUM(E$100:E121))</f>
        <v>2373143.2906535957</v>
      </c>
      <c r="E122" s="377">
        <f>IF(+J97&lt;F121,J97,D122)</f>
        <v>266722</v>
      </c>
      <c r="F122" s="54">
        <f t="shared" si="58"/>
        <v>2106421.2906535957</v>
      </c>
      <c r="G122" s="54">
        <f t="shared" si="59"/>
        <v>2239782.2906535957</v>
      </c>
      <c r="H122" s="459">
        <f t="shared" si="60"/>
        <v>518619.0270961934</v>
      </c>
      <c r="I122" s="407">
        <f t="shared" si="61"/>
        <v>518619.0270961934</v>
      </c>
      <c r="J122" s="53">
        <f t="shared" si="39"/>
        <v>0</v>
      </c>
      <c r="K122" s="53"/>
      <c r="L122" s="112"/>
      <c r="M122" s="53">
        <f t="shared" si="62"/>
        <v>0</v>
      </c>
      <c r="N122" s="112"/>
      <c r="O122" s="53">
        <f t="shared" si="37"/>
        <v>0</v>
      </c>
      <c r="P122" s="53">
        <f t="shared" si="38"/>
        <v>0</v>
      </c>
      <c r="Q122" s="1"/>
      <c r="R122" s="1"/>
      <c r="S122" s="1"/>
      <c r="T122" s="1"/>
      <c r="U122" s="1"/>
    </row>
    <row r="123" spans="2:21">
      <c r="B123" t="str">
        <f t="shared" si="33"/>
        <v/>
      </c>
      <c r="C123" s="49">
        <f>IF(D94="","-",+C122+1)</f>
        <v>2038</v>
      </c>
      <c r="D123" s="11">
        <f>IF(F122+SUM(E$100:E122)=D$93,F122,D$93-SUM(E$100:E122))</f>
        <v>2106421.2906535957</v>
      </c>
      <c r="E123" s="377">
        <f>IF(+J97&lt;F122,J97,D123)</f>
        <v>266722</v>
      </c>
      <c r="F123" s="54">
        <f t="shared" si="58"/>
        <v>1839699.2906535957</v>
      </c>
      <c r="G123" s="54">
        <f t="shared" si="59"/>
        <v>1973060.2906535957</v>
      </c>
      <c r="H123" s="459">
        <f t="shared" si="60"/>
        <v>488622.14787203225</v>
      </c>
      <c r="I123" s="407">
        <f t="shared" si="61"/>
        <v>488622.14787203225</v>
      </c>
      <c r="J123" s="53">
        <f t="shared" si="39"/>
        <v>0</v>
      </c>
      <c r="K123" s="53"/>
      <c r="L123" s="112"/>
      <c r="M123" s="53">
        <f t="shared" si="62"/>
        <v>0</v>
      </c>
      <c r="N123" s="112"/>
      <c r="O123" s="53">
        <f t="shared" si="37"/>
        <v>0</v>
      </c>
      <c r="P123" s="53">
        <f t="shared" si="38"/>
        <v>0</v>
      </c>
      <c r="Q123" s="1"/>
      <c r="R123" s="1"/>
      <c r="S123" s="1"/>
      <c r="T123" s="1"/>
      <c r="U123" s="1"/>
    </row>
    <row r="124" spans="2:21">
      <c r="B124" t="str">
        <f t="shared" si="33"/>
        <v/>
      </c>
      <c r="C124" s="49">
        <f>IF(D94="","-",+C123+1)</f>
        <v>2039</v>
      </c>
      <c r="D124" s="11">
        <f>IF(F123+SUM(E$100:E123)=D$93,F123,D$93-SUM(E$100:E123))</f>
        <v>1839699.2906535957</v>
      </c>
      <c r="E124" s="377">
        <f>IF(+J97&lt;F123,J97,D124)</f>
        <v>266722</v>
      </c>
      <c r="F124" s="54">
        <f t="shared" si="58"/>
        <v>1572977.2906535957</v>
      </c>
      <c r="G124" s="54">
        <f t="shared" si="59"/>
        <v>1706338.2906535957</v>
      </c>
      <c r="H124" s="459">
        <f t="shared" si="60"/>
        <v>458625.2686478711</v>
      </c>
      <c r="I124" s="407">
        <f t="shared" si="61"/>
        <v>458625.2686478711</v>
      </c>
      <c r="J124" s="53">
        <f t="shared" si="39"/>
        <v>0</v>
      </c>
      <c r="K124" s="53"/>
      <c r="L124" s="112"/>
      <c r="M124" s="53">
        <f t="shared" si="62"/>
        <v>0</v>
      </c>
      <c r="N124" s="112"/>
      <c r="O124" s="53">
        <f t="shared" si="37"/>
        <v>0</v>
      </c>
      <c r="P124" s="53">
        <f t="shared" si="38"/>
        <v>0</v>
      </c>
      <c r="Q124" s="1"/>
      <c r="R124" s="1"/>
      <c r="S124" s="1"/>
      <c r="T124" s="1"/>
      <c r="U124" s="1"/>
    </row>
    <row r="125" spans="2:21">
      <c r="B125" t="str">
        <f t="shared" si="33"/>
        <v/>
      </c>
      <c r="C125" s="49">
        <f>IF(D94="","-",+C124+1)</f>
        <v>2040</v>
      </c>
      <c r="D125" s="11">
        <f>IF(F124+SUM(E$100:E124)=D$93,F124,D$93-SUM(E$100:E124))</f>
        <v>1572977.2906535957</v>
      </c>
      <c r="E125" s="377">
        <f>IF(+J97&lt;F124,J97,D125)</f>
        <v>266722</v>
      </c>
      <c r="F125" s="54">
        <f t="shared" si="58"/>
        <v>1306255.2906535957</v>
      </c>
      <c r="G125" s="54">
        <f t="shared" si="59"/>
        <v>1439616.2906535957</v>
      </c>
      <c r="H125" s="459">
        <f t="shared" si="60"/>
        <v>428628.38942370994</v>
      </c>
      <c r="I125" s="407">
        <f t="shared" si="61"/>
        <v>428628.38942370994</v>
      </c>
      <c r="J125" s="53">
        <f t="shared" si="39"/>
        <v>0</v>
      </c>
      <c r="K125" s="53"/>
      <c r="L125" s="112"/>
      <c r="M125" s="53">
        <f t="shared" si="62"/>
        <v>0</v>
      </c>
      <c r="N125" s="112"/>
      <c r="O125" s="53">
        <f t="shared" si="37"/>
        <v>0</v>
      </c>
      <c r="P125" s="53">
        <f t="shared" si="38"/>
        <v>0</v>
      </c>
      <c r="Q125" s="1"/>
      <c r="R125" s="1"/>
      <c r="S125" s="1"/>
      <c r="T125" s="1"/>
      <c r="U125" s="1"/>
    </row>
    <row r="126" spans="2:21">
      <c r="B126" t="str">
        <f t="shared" si="33"/>
        <v/>
      </c>
      <c r="C126" s="49">
        <f>IF(D94="","-",+C125+1)</f>
        <v>2041</v>
      </c>
      <c r="D126" s="11">
        <f>IF(F125+SUM(E$100:E125)=D$93,F125,D$93-SUM(E$100:E125))</f>
        <v>1306255.2906535957</v>
      </c>
      <c r="E126" s="377">
        <f>IF(+J97&lt;F125,J97,D126)</f>
        <v>266722</v>
      </c>
      <c r="F126" s="54">
        <f t="shared" si="58"/>
        <v>1039533.2906535957</v>
      </c>
      <c r="G126" s="54">
        <f t="shared" si="59"/>
        <v>1172894.2906535957</v>
      </c>
      <c r="H126" s="459">
        <f t="shared" si="60"/>
        <v>398631.51019954879</v>
      </c>
      <c r="I126" s="407">
        <f t="shared" si="61"/>
        <v>398631.51019954879</v>
      </c>
      <c r="J126" s="53">
        <f t="shared" si="39"/>
        <v>0</v>
      </c>
      <c r="K126" s="53"/>
      <c r="L126" s="112"/>
      <c r="M126" s="53">
        <f t="shared" si="62"/>
        <v>0</v>
      </c>
      <c r="N126" s="112"/>
      <c r="O126" s="53">
        <f t="shared" si="37"/>
        <v>0</v>
      </c>
      <c r="P126" s="53">
        <f t="shared" si="38"/>
        <v>0</v>
      </c>
      <c r="Q126" s="1"/>
      <c r="R126" s="1"/>
      <c r="S126" s="1"/>
      <c r="T126" s="1"/>
      <c r="U126" s="1"/>
    </row>
    <row r="127" spans="2:21">
      <c r="B127" t="str">
        <f t="shared" si="33"/>
        <v/>
      </c>
      <c r="C127" s="49">
        <f>IF(D94="","-",+C126+1)</f>
        <v>2042</v>
      </c>
      <c r="D127" s="11">
        <f>IF(F126+SUM(E$100:E126)=D$93,F126,D$93-SUM(E$100:E126))</f>
        <v>1039533.2906535957</v>
      </c>
      <c r="E127" s="377">
        <f>IF(+J97&lt;F126,J97,D127)</f>
        <v>266722</v>
      </c>
      <c r="F127" s="54">
        <f t="shared" si="58"/>
        <v>772811.2906535957</v>
      </c>
      <c r="G127" s="54">
        <f t="shared" si="59"/>
        <v>906172.2906535957</v>
      </c>
      <c r="H127" s="459">
        <f t="shared" si="60"/>
        <v>368634.6309753877</v>
      </c>
      <c r="I127" s="407">
        <f t="shared" si="61"/>
        <v>368634.6309753877</v>
      </c>
      <c r="J127" s="53">
        <f t="shared" si="39"/>
        <v>0</v>
      </c>
      <c r="K127" s="53"/>
      <c r="L127" s="112"/>
      <c r="M127" s="53">
        <f t="shared" si="62"/>
        <v>0</v>
      </c>
      <c r="N127" s="112"/>
      <c r="O127" s="53">
        <f t="shared" si="37"/>
        <v>0</v>
      </c>
      <c r="P127" s="53">
        <f t="shared" si="38"/>
        <v>0</v>
      </c>
      <c r="Q127" s="1"/>
      <c r="R127" s="1"/>
      <c r="S127" s="1"/>
      <c r="T127" s="1"/>
      <c r="U127" s="1"/>
    </row>
    <row r="128" spans="2:21">
      <c r="B128" t="str">
        <f t="shared" si="33"/>
        <v/>
      </c>
      <c r="C128" s="49">
        <f>IF(D94="","-",+C127+1)</f>
        <v>2043</v>
      </c>
      <c r="D128" s="11">
        <f>IF(F127+SUM(E$100:E127)=D$93,F127,D$93-SUM(E$100:E127))</f>
        <v>772811.2906535957</v>
      </c>
      <c r="E128" s="377">
        <f>IF(+J97&lt;F127,J97,D128)</f>
        <v>266722</v>
      </c>
      <c r="F128" s="54">
        <f t="shared" si="58"/>
        <v>506089.2906535957</v>
      </c>
      <c r="G128" s="54">
        <f t="shared" si="59"/>
        <v>639450.2906535957</v>
      </c>
      <c r="H128" s="459">
        <f t="shared" si="60"/>
        <v>338637.75175122655</v>
      </c>
      <c r="I128" s="407">
        <f t="shared" si="61"/>
        <v>338637.75175122655</v>
      </c>
      <c r="J128" s="53">
        <f t="shared" si="39"/>
        <v>0</v>
      </c>
      <c r="K128" s="53"/>
      <c r="L128" s="112"/>
      <c r="M128" s="53">
        <f t="shared" si="62"/>
        <v>0</v>
      </c>
      <c r="N128" s="112"/>
      <c r="O128" s="53">
        <f t="shared" si="37"/>
        <v>0</v>
      </c>
      <c r="P128" s="53">
        <f t="shared" si="38"/>
        <v>0</v>
      </c>
      <c r="Q128" s="1"/>
      <c r="R128" s="1"/>
      <c r="S128" s="1"/>
      <c r="T128" s="1"/>
      <c r="U128" s="1"/>
    </row>
    <row r="129" spans="2:21">
      <c r="B129" t="str">
        <f t="shared" si="33"/>
        <v/>
      </c>
      <c r="C129" s="49">
        <f>IF(D94="","-",+C128+1)</f>
        <v>2044</v>
      </c>
      <c r="D129" s="11">
        <f>IF(F128+SUM(E$100:E128)=D$93,F128,D$93-SUM(E$100:E128))</f>
        <v>506089.2906535957</v>
      </c>
      <c r="E129" s="377">
        <f>IF(+J97&lt;F128,J97,D129)</f>
        <v>266722</v>
      </c>
      <c r="F129" s="54">
        <f t="shared" si="58"/>
        <v>239367.2906535957</v>
      </c>
      <c r="G129" s="54">
        <f t="shared" si="59"/>
        <v>372728.2906535957</v>
      </c>
      <c r="H129" s="459">
        <f t="shared" si="60"/>
        <v>308640.8725270654</v>
      </c>
      <c r="I129" s="407">
        <f t="shared" si="61"/>
        <v>308640.8725270654</v>
      </c>
      <c r="J129" s="53">
        <f t="shared" si="39"/>
        <v>0</v>
      </c>
      <c r="K129" s="53"/>
      <c r="L129" s="112"/>
      <c r="M129" s="53">
        <f t="shared" si="62"/>
        <v>0</v>
      </c>
      <c r="N129" s="112"/>
      <c r="O129" s="53">
        <f t="shared" si="37"/>
        <v>0</v>
      </c>
      <c r="P129" s="53">
        <f t="shared" si="38"/>
        <v>0</v>
      </c>
      <c r="Q129" s="1"/>
      <c r="R129" s="1"/>
      <c r="S129" s="1"/>
      <c r="T129" s="1"/>
      <c r="U129" s="1"/>
    </row>
    <row r="130" spans="2:21">
      <c r="B130" t="str">
        <f t="shared" si="33"/>
        <v/>
      </c>
      <c r="C130" s="49">
        <f>IF(D94="","-",+C129+1)</f>
        <v>2045</v>
      </c>
      <c r="D130" s="11">
        <f>IF(F129+SUM(E$100:E129)=D$93,F129,D$93-SUM(E$100:E129))</f>
        <v>239367.2906535957</v>
      </c>
      <c r="E130" s="377">
        <f>IF(+J97&lt;F129,J97,D130)</f>
        <v>239367.2906535957</v>
      </c>
      <c r="F130" s="54">
        <f t="shared" si="58"/>
        <v>0</v>
      </c>
      <c r="G130" s="54">
        <f t="shared" si="59"/>
        <v>119683.64532679785</v>
      </c>
      <c r="H130" s="459">
        <f t="shared" si="60"/>
        <v>252827.50711108811</v>
      </c>
      <c r="I130" s="407">
        <f t="shared" si="61"/>
        <v>252827.50711108811</v>
      </c>
      <c r="J130" s="53">
        <f t="shared" si="39"/>
        <v>0</v>
      </c>
      <c r="K130" s="53"/>
      <c r="L130" s="112"/>
      <c r="M130" s="53">
        <f t="shared" si="62"/>
        <v>0</v>
      </c>
      <c r="N130" s="112"/>
      <c r="O130" s="53">
        <f t="shared" si="37"/>
        <v>0</v>
      </c>
      <c r="P130" s="53">
        <f t="shared" si="38"/>
        <v>0</v>
      </c>
      <c r="Q130" s="1"/>
      <c r="R130" s="1"/>
      <c r="S130" s="1"/>
      <c r="T130" s="1"/>
      <c r="U130" s="1"/>
    </row>
    <row r="131" spans="2:21">
      <c r="B131" t="str">
        <f t="shared" si="33"/>
        <v/>
      </c>
      <c r="C131" s="49">
        <f>IF(D94="","-",+C130+1)</f>
        <v>2046</v>
      </c>
      <c r="D131" s="11">
        <f>IF(F130+SUM(E$100:E130)=D$93,F130,D$93-SUM(E$100:E130))</f>
        <v>0</v>
      </c>
      <c r="E131" s="377">
        <f>IF(+J97&lt;F130,J97,D131)</f>
        <v>0</v>
      </c>
      <c r="F131" s="54">
        <f t="shared" si="58"/>
        <v>0</v>
      </c>
      <c r="G131" s="54">
        <f t="shared" si="59"/>
        <v>0</v>
      </c>
      <c r="H131" s="459">
        <f t="shared" si="60"/>
        <v>0</v>
      </c>
      <c r="I131" s="407">
        <f t="shared" si="61"/>
        <v>0</v>
      </c>
      <c r="J131" s="53">
        <f t="shared" si="39"/>
        <v>0</v>
      </c>
      <c r="K131" s="53"/>
      <c r="L131" s="112"/>
      <c r="M131" s="53">
        <f t="shared" si="62"/>
        <v>0</v>
      </c>
      <c r="N131" s="112"/>
      <c r="O131" s="53">
        <f t="shared" si="37"/>
        <v>0</v>
      </c>
      <c r="P131" s="53">
        <f t="shared" si="38"/>
        <v>0</v>
      </c>
      <c r="Q131" s="1"/>
      <c r="R131" s="1"/>
      <c r="S131" s="1"/>
      <c r="T131" s="1"/>
      <c r="U131" s="1"/>
    </row>
    <row r="132" spans="2:21">
      <c r="B132" t="str">
        <f t="shared" si="33"/>
        <v/>
      </c>
      <c r="C132" s="49">
        <f>IF(D94="","-",+C131+1)</f>
        <v>2047</v>
      </c>
      <c r="D132" s="11">
        <f>IF(F131+SUM(E$100:E131)=D$93,F131,D$93-SUM(E$100:E131))</f>
        <v>0</v>
      </c>
      <c r="E132" s="377">
        <f>IF(+J97&lt;F131,J97,D132)</f>
        <v>0</v>
      </c>
      <c r="F132" s="54">
        <f t="shared" si="58"/>
        <v>0</v>
      </c>
      <c r="G132" s="54">
        <f t="shared" si="59"/>
        <v>0</v>
      </c>
      <c r="H132" s="459">
        <f t="shared" si="60"/>
        <v>0</v>
      </c>
      <c r="I132" s="407">
        <f t="shared" si="61"/>
        <v>0</v>
      </c>
      <c r="J132" s="53">
        <f t="shared" ref="J132:J155" si="63">+I542-H542</f>
        <v>0</v>
      </c>
      <c r="K132" s="53"/>
      <c r="L132" s="112"/>
      <c r="M132" s="53">
        <f t="shared" ref="M132:M155" si="64">IF(L542&lt;&gt;0,+H542-L542,0)</f>
        <v>0</v>
      </c>
      <c r="N132" s="112"/>
      <c r="O132" s="53">
        <f t="shared" ref="O132:O155" si="65">IF(N542&lt;&gt;0,+I542-N542,0)</f>
        <v>0</v>
      </c>
      <c r="P132" s="53">
        <f t="shared" ref="P132:P155" si="66">+O542-M542</f>
        <v>0</v>
      </c>
      <c r="Q132" s="1"/>
      <c r="R132" s="1"/>
      <c r="S132" s="1"/>
      <c r="T132" s="1"/>
      <c r="U132" s="1"/>
    </row>
    <row r="133" spans="2:21">
      <c r="B133" t="str">
        <f t="shared" si="33"/>
        <v/>
      </c>
      <c r="C133" s="49">
        <f>IF(D94="","-",+C132+1)</f>
        <v>2048</v>
      </c>
      <c r="D133" s="11">
        <f>IF(F132+SUM(E$100:E132)=D$93,F132,D$93-SUM(E$100:E132))</f>
        <v>0</v>
      </c>
      <c r="E133" s="377">
        <f>IF(+J97&lt;F132,J97,D133)</f>
        <v>0</v>
      </c>
      <c r="F133" s="54">
        <f t="shared" si="58"/>
        <v>0</v>
      </c>
      <c r="G133" s="54">
        <f t="shared" si="59"/>
        <v>0</v>
      </c>
      <c r="H133" s="459">
        <f t="shared" si="60"/>
        <v>0</v>
      </c>
      <c r="I133" s="407">
        <f t="shared" si="61"/>
        <v>0</v>
      </c>
      <c r="J133" s="53">
        <f t="shared" si="63"/>
        <v>0</v>
      </c>
      <c r="K133" s="53"/>
      <c r="L133" s="112"/>
      <c r="M133" s="53">
        <f t="shared" si="64"/>
        <v>0</v>
      </c>
      <c r="N133" s="112"/>
      <c r="O133" s="53">
        <f t="shared" si="65"/>
        <v>0</v>
      </c>
      <c r="P133" s="53">
        <f t="shared" si="66"/>
        <v>0</v>
      </c>
      <c r="Q133" s="1"/>
      <c r="R133" s="1"/>
      <c r="S133" s="1"/>
      <c r="T133" s="1"/>
      <c r="U133" s="1"/>
    </row>
    <row r="134" spans="2:21">
      <c r="B134" t="str">
        <f t="shared" si="33"/>
        <v/>
      </c>
      <c r="C134" s="49">
        <f>IF(D94="","-",+C133+1)</f>
        <v>2049</v>
      </c>
      <c r="D134" s="11">
        <f>IF(F133+SUM(E$100:E133)=D$93,F133,D$93-SUM(E$100:E133))</f>
        <v>0</v>
      </c>
      <c r="E134" s="377">
        <f>IF(+J97&lt;F133,J97,D134)</f>
        <v>0</v>
      </c>
      <c r="F134" s="54">
        <f t="shared" si="58"/>
        <v>0</v>
      </c>
      <c r="G134" s="54">
        <f t="shared" si="59"/>
        <v>0</v>
      </c>
      <c r="H134" s="459">
        <f t="shared" si="60"/>
        <v>0</v>
      </c>
      <c r="I134" s="407">
        <f t="shared" si="61"/>
        <v>0</v>
      </c>
      <c r="J134" s="53">
        <f t="shared" si="63"/>
        <v>0</v>
      </c>
      <c r="K134" s="53"/>
      <c r="L134" s="112"/>
      <c r="M134" s="53">
        <f t="shared" si="64"/>
        <v>0</v>
      </c>
      <c r="N134" s="112"/>
      <c r="O134" s="53">
        <f t="shared" si="65"/>
        <v>0</v>
      </c>
      <c r="P134" s="53">
        <f t="shared" si="66"/>
        <v>0</v>
      </c>
      <c r="Q134" s="1"/>
      <c r="R134" s="1"/>
      <c r="S134" s="1"/>
      <c r="T134" s="1"/>
      <c r="U134" s="1"/>
    </row>
    <row r="135" spans="2:21">
      <c r="B135" t="str">
        <f t="shared" si="33"/>
        <v/>
      </c>
      <c r="C135" s="49">
        <f>IF(D94="","-",+C134+1)</f>
        <v>2050</v>
      </c>
      <c r="D135" s="11">
        <f>IF(F134+SUM(E$100:E134)=D$93,F134,D$93-SUM(E$100:E134))</f>
        <v>0</v>
      </c>
      <c r="E135" s="377">
        <f>IF(+J97&lt;F134,J97,D135)</f>
        <v>0</v>
      </c>
      <c r="F135" s="54">
        <f t="shared" si="58"/>
        <v>0</v>
      </c>
      <c r="G135" s="54">
        <f t="shared" si="59"/>
        <v>0</v>
      </c>
      <c r="H135" s="459">
        <f t="shared" si="60"/>
        <v>0</v>
      </c>
      <c r="I135" s="407">
        <f t="shared" si="61"/>
        <v>0</v>
      </c>
      <c r="J135" s="53">
        <f t="shared" si="63"/>
        <v>0</v>
      </c>
      <c r="K135" s="53"/>
      <c r="L135" s="112"/>
      <c r="M135" s="53">
        <f t="shared" si="64"/>
        <v>0</v>
      </c>
      <c r="N135" s="112"/>
      <c r="O135" s="53">
        <f t="shared" si="65"/>
        <v>0</v>
      </c>
      <c r="P135" s="53">
        <f t="shared" si="66"/>
        <v>0</v>
      </c>
      <c r="Q135" s="1"/>
      <c r="R135" s="1"/>
      <c r="S135" s="1"/>
      <c r="T135" s="1"/>
      <c r="U135" s="1"/>
    </row>
    <row r="136" spans="2:21">
      <c r="B136" t="str">
        <f t="shared" si="33"/>
        <v/>
      </c>
      <c r="C136" s="49">
        <f>IF(D94="","-",+C135+1)</f>
        <v>2051</v>
      </c>
      <c r="D136" s="11">
        <f>IF(F135+SUM(E$100:E135)=D$93,F135,D$93-SUM(E$100:E135))</f>
        <v>0</v>
      </c>
      <c r="E136" s="377">
        <f>IF(+J97&lt;F135,J97,D136)</f>
        <v>0</v>
      </c>
      <c r="F136" s="54">
        <f t="shared" si="58"/>
        <v>0</v>
      </c>
      <c r="G136" s="54">
        <f t="shared" si="59"/>
        <v>0</v>
      </c>
      <c r="H136" s="459">
        <f t="shared" si="60"/>
        <v>0</v>
      </c>
      <c r="I136" s="407">
        <f t="shared" si="61"/>
        <v>0</v>
      </c>
      <c r="J136" s="53">
        <f t="shared" si="63"/>
        <v>0</v>
      </c>
      <c r="K136" s="53"/>
      <c r="L136" s="112"/>
      <c r="M136" s="53">
        <f t="shared" si="64"/>
        <v>0</v>
      </c>
      <c r="N136" s="112"/>
      <c r="O136" s="53">
        <f t="shared" si="65"/>
        <v>0</v>
      </c>
      <c r="P136" s="53">
        <f t="shared" si="66"/>
        <v>0</v>
      </c>
      <c r="Q136" s="1"/>
      <c r="R136" s="1"/>
      <c r="S136" s="1"/>
      <c r="T136" s="1"/>
      <c r="U136" s="1"/>
    </row>
    <row r="137" spans="2:21">
      <c r="B137" t="str">
        <f t="shared" si="33"/>
        <v/>
      </c>
      <c r="C137" s="49">
        <f>IF(D94="","-",+C136+1)</f>
        <v>2052</v>
      </c>
      <c r="D137" s="11">
        <f>IF(F136+SUM(E$100:E136)=D$93,F136,D$93-SUM(E$100:E136))</f>
        <v>0</v>
      </c>
      <c r="E137" s="377">
        <f>IF(+J97&lt;F136,J97,D137)</f>
        <v>0</v>
      </c>
      <c r="F137" s="54">
        <f t="shared" si="58"/>
        <v>0</v>
      </c>
      <c r="G137" s="54">
        <f t="shared" si="59"/>
        <v>0</v>
      </c>
      <c r="H137" s="459">
        <f t="shared" si="60"/>
        <v>0</v>
      </c>
      <c r="I137" s="407">
        <f t="shared" si="61"/>
        <v>0</v>
      </c>
      <c r="J137" s="53">
        <f t="shared" si="63"/>
        <v>0</v>
      </c>
      <c r="K137" s="53"/>
      <c r="L137" s="112"/>
      <c r="M137" s="53">
        <f t="shared" si="64"/>
        <v>0</v>
      </c>
      <c r="N137" s="112"/>
      <c r="O137" s="53">
        <f t="shared" si="65"/>
        <v>0</v>
      </c>
      <c r="P137" s="53">
        <f t="shared" si="66"/>
        <v>0</v>
      </c>
      <c r="Q137" s="1"/>
      <c r="R137" s="1"/>
      <c r="S137" s="1"/>
      <c r="T137" s="1"/>
      <c r="U137" s="1"/>
    </row>
    <row r="138" spans="2:21">
      <c r="B138" t="str">
        <f t="shared" si="33"/>
        <v/>
      </c>
      <c r="C138" s="49">
        <f>IF(D94="","-",+C137+1)</f>
        <v>2053</v>
      </c>
      <c r="D138" s="11">
        <f>IF(F137+SUM(E$100:E137)=D$93,F137,D$93-SUM(E$100:E137))</f>
        <v>0</v>
      </c>
      <c r="E138" s="377">
        <f>IF(+J97&lt;F137,J97,D138)</f>
        <v>0</v>
      </c>
      <c r="F138" s="54">
        <f t="shared" si="58"/>
        <v>0</v>
      </c>
      <c r="G138" s="54">
        <f t="shared" si="59"/>
        <v>0</v>
      </c>
      <c r="H138" s="459">
        <f t="shared" si="60"/>
        <v>0</v>
      </c>
      <c r="I138" s="407">
        <f t="shared" si="61"/>
        <v>0</v>
      </c>
      <c r="J138" s="53">
        <f t="shared" si="63"/>
        <v>0</v>
      </c>
      <c r="K138" s="53"/>
      <c r="L138" s="112"/>
      <c r="M138" s="53">
        <f t="shared" si="64"/>
        <v>0</v>
      </c>
      <c r="N138" s="112"/>
      <c r="O138" s="53">
        <f t="shared" si="65"/>
        <v>0</v>
      </c>
      <c r="P138" s="53">
        <f t="shared" si="66"/>
        <v>0</v>
      </c>
      <c r="Q138" s="1"/>
      <c r="R138" s="1"/>
      <c r="S138" s="1"/>
      <c r="T138" s="1"/>
      <c r="U138" s="1"/>
    </row>
    <row r="139" spans="2:21">
      <c r="B139" t="str">
        <f t="shared" si="33"/>
        <v/>
      </c>
      <c r="C139" s="49">
        <f>IF(D94="","-",+C138+1)</f>
        <v>2054</v>
      </c>
      <c r="D139" s="11">
        <f>IF(F138+SUM(E$100:E138)=D$93,F138,D$93-SUM(E$100:E138))</f>
        <v>0</v>
      </c>
      <c r="E139" s="377">
        <f>IF(+J97&lt;F138,J97,D139)</f>
        <v>0</v>
      </c>
      <c r="F139" s="54">
        <f t="shared" si="58"/>
        <v>0</v>
      </c>
      <c r="G139" s="54">
        <f t="shared" si="59"/>
        <v>0</v>
      </c>
      <c r="H139" s="459">
        <f t="shared" si="60"/>
        <v>0</v>
      </c>
      <c r="I139" s="407">
        <f t="shared" si="61"/>
        <v>0</v>
      </c>
      <c r="J139" s="53">
        <f t="shared" si="63"/>
        <v>0</v>
      </c>
      <c r="K139" s="53"/>
      <c r="L139" s="112"/>
      <c r="M139" s="53">
        <f t="shared" si="64"/>
        <v>0</v>
      </c>
      <c r="N139" s="112"/>
      <c r="O139" s="53">
        <f t="shared" si="65"/>
        <v>0</v>
      </c>
      <c r="P139" s="53">
        <f t="shared" si="66"/>
        <v>0</v>
      </c>
      <c r="Q139" s="1"/>
      <c r="R139" s="1"/>
      <c r="S139" s="1"/>
      <c r="T139" s="1"/>
      <c r="U139" s="1"/>
    </row>
    <row r="140" spans="2:21">
      <c r="B140" t="str">
        <f t="shared" si="33"/>
        <v/>
      </c>
      <c r="C140" s="49">
        <f>IF(D94="","-",+C139+1)</f>
        <v>2055</v>
      </c>
      <c r="D140" s="11">
        <f>IF(F139+SUM(E$100:E139)=D$93,F139,D$93-SUM(E$100:E139))</f>
        <v>0</v>
      </c>
      <c r="E140" s="377">
        <f>IF(+J97&lt;F139,J97,D140)</f>
        <v>0</v>
      </c>
      <c r="F140" s="54">
        <f t="shared" si="58"/>
        <v>0</v>
      </c>
      <c r="G140" s="54">
        <f t="shared" si="59"/>
        <v>0</v>
      </c>
      <c r="H140" s="459">
        <f t="shared" si="60"/>
        <v>0</v>
      </c>
      <c r="I140" s="407">
        <f t="shared" si="61"/>
        <v>0</v>
      </c>
      <c r="J140" s="53">
        <f t="shared" si="63"/>
        <v>0</v>
      </c>
      <c r="K140" s="53"/>
      <c r="L140" s="112"/>
      <c r="M140" s="53">
        <f t="shared" si="64"/>
        <v>0</v>
      </c>
      <c r="N140" s="112"/>
      <c r="O140" s="53">
        <f t="shared" si="65"/>
        <v>0</v>
      </c>
      <c r="P140" s="53">
        <f t="shared" si="66"/>
        <v>0</v>
      </c>
      <c r="Q140" s="1"/>
      <c r="R140" s="1"/>
      <c r="S140" s="1"/>
      <c r="T140" s="1"/>
      <c r="U140" s="1"/>
    </row>
    <row r="141" spans="2:21">
      <c r="B141" t="str">
        <f t="shared" si="33"/>
        <v/>
      </c>
      <c r="C141" s="49">
        <f>IF(D94="","-",+C140+1)</f>
        <v>2056</v>
      </c>
      <c r="D141" s="11">
        <f>IF(F140+SUM(E$100:E140)=D$93,F140,D$93-SUM(E$100:E140))</f>
        <v>0</v>
      </c>
      <c r="E141" s="377">
        <f>IF(+J97&lt;F140,J97,D141)</f>
        <v>0</v>
      </c>
      <c r="F141" s="54">
        <f t="shared" si="58"/>
        <v>0</v>
      </c>
      <c r="G141" s="54">
        <f t="shared" si="59"/>
        <v>0</v>
      </c>
      <c r="H141" s="459">
        <f t="shared" si="60"/>
        <v>0</v>
      </c>
      <c r="I141" s="407">
        <f t="shared" si="61"/>
        <v>0</v>
      </c>
      <c r="J141" s="53">
        <f t="shared" si="63"/>
        <v>0</v>
      </c>
      <c r="K141" s="53"/>
      <c r="L141" s="112"/>
      <c r="M141" s="53">
        <f t="shared" si="64"/>
        <v>0</v>
      </c>
      <c r="N141" s="112"/>
      <c r="O141" s="53">
        <f t="shared" si="65"/>
        <v>0</v>
      </c>
      <c r="P141" s="53">
        <f t="shared" si="66"/>
        <v>0</v>
      </c>
      <c r="Q141" s="1"/>
      <c r="R141" s="1"/>
      <c r="S141" s="1"/>
      <c r="T141" s="1"/>
      <c r="U141" s="1"/>
    </row>
    <row r="142" spans="2:21">
      <c r="B142" t="str">
        <f t="shared" si="33"/>
        <v/>
      </c>
      <c r="C142" s="49">
        <f>IF(D94="","-",+C141+1)</f>
        <v>2057</v>
      </c>
      <c r="D142" s="11">
        <f>IF(F141+SUM(E$100:E141)=D$93,F141,D$93-SUM(E$100:E141))</f>
        <v>0</v>
      </c>
      <c r="E142" s="377">
        <f>IF(+J97&lt;F141,J97,D142)</f>
        <v>0</v>
      </c>
      <c r="F142" s="54">
        <f t="shared" si="58"/>
        <v>0</v>
      </c>
      <c r="G142" s="54">
        <f t="shared" si="59"/>
        <v>0</v>
      </c>
      <c r="H142" s="459">
        <f t="shared" si="60"/>
        <v>0</v>
      </c>
      <c r="I142" s="407">
        <f t="shared" si="61"/>
        <v>0</v>
      </c>
      <c r="J142" s="53">
        <f t="shared" si="63"/>
        <v>0</v>
      </c>
      <c r="K142" s="53"/>
      <c r="L142" s="112"/>
      <c r="M142" s="53">
        <f t="shared" si="64"/>
        <v>0</v>
      </c>
      <c r="N142" s="112"/>
      <c r="O142" s="53">
        <f t="shared" si="65"/>
        <v>0</v>
      </c>
      <c r="P142" s="53">
        <f t="shared" si="66"/>
        <v>0</v>
      </c>
      <c r="Q142" s="1"/>
      <c r="R142" s="1"/>
      <c r="S142" s="1"/>
      <c r="T142" s="1"/>
      <c r="U142" s="1"/>
    </row>
    <row r="143" spans="2:21">
      <c r="B143" t="str">
        <f t="shared" si="33"/>
        <v/>
      </c>
      <c r="C143" s="49">
        <f>IF(D94="","-",+C142+1)</f>
        <v>2058</v>
      </c>
      <c r="D143" s="11">
        <f>IF(F142+SUM(E$100:E142)=D$93,F142,D$93-SUM(E$100:E142))</f>
        <v>0</v>
      </c>
      <c r="E143" s="377">
        <f>IF(+J97&lt;F142,J97,D143)</f>
        <v>0</v>
      </c>
      <c r="F143" s="54">
        <f t="shared" si="58"/>
        <v>0</v>
      </c>
      <c r="G143" s="54">
        <f t="shared" si="59"/>
        <v>0</v>
      </c>
      <c r="H143" s="459">
        <f t="shared" si="60"/>
        <v>0</v>
      </c>
      <c r="I143" s="407">
        <f t="shared" si="61"/>
        <v>0</v>
      </c>
      <c r="J143" s="53">
        <f t="shared" si="63"/>
        <v>0</v>
      </c>
      <c r="K143" s="53"/>
      <c r="L143" s="112"/>
      <c r="M143" s="53">
        <f t="shared" si="64"/>
        <v>0</v>
      </c>
      <c r="N143" s="112"/>
      <c r="O143" s="53">
        <f t="shared" si="65"/>
        <v>0</v>
      </c>
      <c r="P143" s="53">
        <f t="shared" si="66"/>
        <v>0</v>
      </c>
      <c r="Q143" s="1"/>
      <c r="R143" s="1"/>
      <c r="S143" s="1"/>
      <c r="T143" s="1"/>
      <c r="U143" s="1"/>
    </row>
    <row r="144" spans="2:21">
      <c r="B144" t="str">
        <f t="shared" si="33"/>
        <v/>
      </c>
      <c r="C144" s="49">
        <f>IF(D94="","-",+C143+1)</f>
        <v>2059</v>
      </c>
      <c r="D144" s="11">
        <f>IF(F143+SUM(E$100:E143)=D$93,F143,D$93-SUM(E$100:E143))</f>
        <v>0</v>
      </c>
      <c r="E144" s="377">
        <f>IF(+J97&lt;F143,J97,D144)</f>
        <v>0</v>
      </c>
      <c r="F144" s="54">
        <f t="shared" si="58"/>
        <v>0</v>
      </c>
      <c r="G144" s="54">
        <f t="shared" si="59"/>
        <v>0</v>
      </c>
      <c r="H144" s="459">
        <f t="shared" si="60"/>
        <v>0</v>
      </c>
      <c r="I144" s="407">
        <f t="shared" si="61"/>
        <v>0</v>
      </c>
      <c r="J144" s="53">
        <f t="shared" si="63"/>
        <v>0</v>
      </c>
      <c r="K144" s="53"/>
      <c r="L144" s="112"/>
      <c r="M144" s="53">
        <f t="shared" si="64"/>
        <v>0</v>
      </c>
      <c r="N144" s="112"/>
      <c r="O144" s="53">
        <f t="shared" si="65"/>
        <v>0</v>
      </c>
      <c r="P144" s="53">
        <f t="shared" si="66"/>
        <v>0</v>
      </c>
      <c r="Q144" s="1"/>
      <c r="R144" s="1"/>
      <c r="S144" s="1"/>
      <c r="T144" s="1"/>
      <c r="U144" s="1"/>
    </row>
    <row r="145" spans="2:21">
      <c r="B145" t="str">
        <f t="shared" si="33"/>
        <v/>
      </c>
      <c r="C145" s="49">
        <f>IF(D94="","-",+C144+1)</f>
        <v>2060</v>
      </c>
      <c r="D145" s="11">
        <f>IF(F144+SUM(E$100:E144)=D$93,F144,D$93-SUM(E$100:E144))</f>
        <v>0</v>
      </c>
      <c r="E145" s="377">
        <f>IF(+J97&lt;F144,J97,D145)</f>
        <v>0</v>
      </c>
      <c r="F145" s="54">
        <f t="shared" si="58"/>
        <v>0</v>
      </c>
      <c r="G145" s="54">
        <f t="shared" si="59"/>
        <v>0</v>
      </c>
      <c r="H145" s="459">
        <f t="shared" si="60"/>
        <v>0</v>
      </c>
      <c r="I145" s="407">
        <f t="shared" si="61"/>
        <v>0</v>
      </c>
      <c r="J145" s="53">
        <f t="shared" si="63"/>
        <v>0</v>
      </c>
      <c r="K145" s="53"/>
      <c r="L145" s="112"/>
      <c r="M145" s="53">
        <f t="shared" si="64"/>
        <v>0</v>
      </c>
      <c r="N145" s="112"/>
      <c r="O145" s="53">
        <f t="shared" si="65"/>
        <v>0</v>
      </c>
      <c r="P145" s="53">
        <f t="shared" si="66"/>
        <v>0</v>
      </c>
      <c r="Q145" s="1"/>
      <c r="R145" s="1"/>
      <c r="S145" s="1"/>
      <c r="T145" s="1"/>
      <c r="U145" s="1"/>
    </row>
    <row r="146" spans="2:21">
      <c r="B146" t="str">
        <f t="shared" si="33"/>
        <v/>
      </c>
      <c r="C146" s="49">
        <f>IF(D94="","-",+C145+1)</f>
        <v>2061</v>
      </c>
      <c r="D146" s="11">
        <f>IF(F145+SUM(E$100:E145)=D$93,F145,D$93-SUM(E$100:E145))</f>
        <v>0</v>
      </c>
      <c r="E146" s="377">
        <f>IF(+J97&lt;F145,J97,D146)</f>
        <v>0</v>
      </c>
      <c r="F146" s="54">
        <f t="shared" si="58"/>
        <v>0</v>
      </c>
      <c r="G146" s="54">
        <f t="shared" si="59"/>
        <v>0</v>
      </c>
      <c r="H146" s="459">
        <f t="shared" si="60"/>
        <v>0</v>
      </c>
      <c r="I146" s="407">
        <f t="shared" si="61"/>
        <v>0</v>
      </c>
      <c r="J146" s="53">
        <f t="shared" si="63"/>
        <v>0</v>
      </c>
      <c r="K146" s="53"/>
      <c r="L146" s="112"/>
      <c r="M146" s="53">
        <f t="shared" si="64"/>
        <v>0</v>
      </c>
      <c r="N146" s="112"/>
      <c r="O146" s="53">
        <f t="shared" si="65"/>
        <v>0</v>
      </c>
      <c r="P146" s="53">
        <f t="shared" si="66"/>
        <v>0</v>
      </c>
      <c r="Q146" s="1"/>
      <c r="R146" s="1"/>
      <c r="S146" s="1"/>
      <c r="T146" s="1"/>
      <c r="U146" s="1"/>
    </row>
    <row r="147" spans="2:21">
      <c r="B147" t="str">
        <f t="shared" si="33"/>
        <v/>
      </c>
      <c r="C147" s="49">
        <f>IF(D94="","-",+C146+1)</f>
        <v>2062</v>
      </c>
      <c r="D147" s="11">
        <f>IF(F146+SUM(E$100:E146)=D$93,F146,D$93-SUM(E$100:E146))</f>
        <v>0</v>
      </c>
      <c r="E147" s="377">
        <f>IF(+J97&lt;F146,J97,D147)</f>
        <v>0</v>
      </c>
      <c r="F147" s="54">
        <f t="shared" si="58"/>
        <v>0</v>
      </c>
      <c r="G147" s="54">
        <f t="shared" si="59"/>
        <v>0</v>
      </c>
      <c r="H147" s="459">
        <f t="shared" si="60"/>
        <v>0</v>
      </c>
      <c r="I147" s="407">
        <f t="shared" si="61"/>
        <v>0</v>
      </c>
      <c r="J147" s="53">
        <f t="shared" si="63"/>
        <v>0</v>
      </c>
      <c r="K147" s="53"/>
      <c r="L147" s="112"/>
      <c r="M147" s="53">
        <f t="shared" si="64"/>
        <v>0</v>
      </c>
      <c r="N147" s="112"/>
      <c r="O147" s="53">
        <f t="shared" si="65"/>
        <v>0</v>
      </c>
      <c r="P147" s="53">
        <f t="shared" si="66"/>
        <v>0</v>
      </c>
      <c r="Q147" s="1"/>
      <c r="R147" s="1"/>
      <c r="S147" s="1"/>
      <c r="T147" s="1"/>
      <c r="U147" s="1"/>
    </row>
    <row r="148" spans="2:21">
      <c r="B148" t="str">
        <f t="shared" si="33"/>
        <v/>
      </c>
      <c r="C148" s="49">
        <f>IF(D94="","-",+C147+1)</f>
        <v>2063</v>
      </c>
      <c r="D148" s="11">
        <f>IF(F147+SUM(E$100:E147)=D$93,F147,D$93-SUM(E$100:E147))</f>
        <v>0</v>
      </c>
      <c r="E148" s="377">
        <f>IF(+J97&lt;F147,J97,D148)</f>
        <v>0</v>
      </c>
      <c r="F148" s="54">
        <f t="shared" si="58"/>
        <v>0</v>
      </c>
      <c r="G148" s="54">
        <f t="shared" si="59"/>
        <v>0</v>
      </c>
      <c r="H148" s="459">
        <f t="shared" si="60"/>
        <v>0</v>
      </c>
      <c r="I148" s="407">
        <f t="shared" si="61"/>
        <v>0</v>
      </c>
      <c r="J148" s="53">
        <f t="shared" si="63"/>
        <v>0</v>
      </c>
      <c r="K148" s="53"/>
      <c r="L148" s="112"/>
      <c r="M148" s="53">
        <f t="shared" si="64"/>
        <v>0</v>
      </c>
      <c r="N148" s="112"/>
      <c r="O148" s="53">
        <f t="shared" si="65"/>
        <v>0</v>
      </c>
      <c r="P148" s="53">
        <f t="shared" si="66"/>
        <v>0</v>
      </c>
      <c r="Q148" s="1"/>
      <c r="R148" s="1"/>
      <c r="S148" s="1"/>
      <c r="T148" s="1"/>
      <c r="U148" s="1"/>
    </row>
    <row r="149" spans="2:21">
      <c r="B149" t="str">
        <f t="shared" si="33"/>
        <v/>
      </c>
      <c r="C149" s="49">
        <f>IF(D94="","-",+C148+1)</f>
        <v>2064</v>
      </c>
      <c r="D149" s="11">
        <f>IF(F148+SUM(E$100:E148)=D$93,F148,D$93-SUM(E$100:E148))</f>
        <v>0</v>
      </c>
      <c r="E149" s="377">
        <f>IF(+J97&lt;F148,J97,D149)</f>
        <v>0</v>
      </c>
      <c r="F149" s="54">
        <f t="shared" si="58"/>
        <v>0</v>
      </c>
      <c r="G149" s="54">
        <f t="shared" si="59"/>
        <v>0</v>
      </c>
      <c r="H149" s="459">
        <f t="shared" si="60"/>
        <v>0</v>
      </c>
      <c r="I149" s="407">
        <f t="shared" si="61"/>
        <v>0</v>
      </c>
      <c r="J149" s="53">
        <f t="shared" si="63"/>
        <v>0</v>
      </c>
      <c r="K149" s="53"/>
      <c r="L149" s="112"/>
      <c r="M149" s="53">
        <f t="shared" si="64"/>
        <v>0</v>
      </c>
      <c r="N149" s="112"/>
      <c r="O149" s="53">
        <f t="shared" si="65"/>
        <v>0</v>
      </c>
      <c r="P149" s="53">
        <f t="shared" si="66"/>
        <v>0</v>
      </c>
      <c r="Q149" s="1"/>
      <c r="R149" s="1"/>
      <c r="S149" s="1"/>
      <c r="T149" s="1"/>
      <c r="U149" s="1"/>
    </row>
    <row r="150" spans="2:21">
      <c r="B150" t="str">
        <f t="shared" si="33"/>
        <v/>
      </c>
      <c r="C150" s="49">
        <f>IF(D94="","-",+C149+1)</f>
        <v>2065</v>
      </c>
      <c r="D150" s="11">
        <f>IF(F149+SUM(E$100:E149)=D$93,F149,D$93-SUM(E$100:E149))</f>
        <v>0</v>
      </c>
      <c r="E150" s="377">
        <f>IF(+J97&lt;F149,J97,D150)</f>
        <v>0</v>
      </c>
      <c r="F150" s="54">
        <f t="shared" si="58"/>
        <v>0</v>
      </c>
      <c r="G150" s="54">
        <f t="shared" si="59"/>
        <v>0</v>
      </c>
      <c r="H150" s="459">
        <f t="shared" si="60"/>
        <v>0</v>
      </c>
      <c r="I150" s="407">
        <f t="shared" si="61"/>
        <v>0</v>
      </c>
      <c r="J150" s="53">
        <f t="shared" si="63"/>
        <v>0</v>
      </c>
      <c r="K150" s="53"/>
      <c r="L150" s="112"/>
      <c r="M150" s="53">
        <f t="shared" si="64"/>
        <v>0</v>
      </c>
      <c r="N150" s="112"/>
      <c r="O150" s="53">
        <f t="shared" si="65"/>
        <v>0</v>
      </c>
      <c r="P150" s="53">
        <f t="shared" si="66"/>
        <v>0</v>
      </c>
      <c r="Q150" s="1"/>
      <c r="R150" s="1"/>
      <c r="S150" s="1"/>
      <c r="T150" s="1"/>
      <c r="U150" s="1"/>
    </row>
    <row r="151" spans="2:21">
      <c r="B151" t="str">
        <f t="shared" si="33"/>
        <v/>
      </c>
      <c r="C151" s="49">
        <f>IF(D94="","-",+C150+1)</f>
        <v>2066</v>
      </c>
      <c r="D151" s="11">
        <f>IF(F150+SUM(E$100:E150)=D$93,F150,D$93-SUM(E$100:E150))</f>
        <v>0</v>
      </c>
      <c r="E151" s="377">
        <f>IF(+J97&lt;F150,J97,D151)</f>
        <v>0</v>
      </c>
      <c r="F151" s="54">
        <f t="shared" si="58"/>
        <v>0</v>
      </c>
      <c r="G151" s="54">
        <f t="shared" si="59"/>
        <v>0</v>
      </c>
      <c r="H151" s="459">
        <f t="shared" si="60"/>
        <v>0</v>
      </c>
      <c r="I151" s="407">
        <f t="shared" si="61"/>
        <v>0</v>
      </c>
      <c r="J151" s="53">
        <f t="shared" si="63"/>
        <v>0</v>
      </c>
      <c r="K151" s="53"/>
      <c r="L151" s="112"/>
      <c r="M151" s="53">
        <f t="shared" si="64"/>
        <v>0</v>
      </c>
      <c r="N151" s="112"/>
      <c r="O151" s="53">
        <f t="shared" si="65"/>
        <v>0</v>
      </c>
      <c r="P151" s="53">
        <f t="shared" si="66"/>
        <v>0</v>
      </c>
      <c r="Q151" s="1"/>
      <c r="R151" s="1"/>
      <c r="S151" s="1"/>
      <c r="T151" s="1"/>
      <c r="U151" s="1"/>
    </row>
    <row r="152" spans="2:21">
      <c r="B152" t="str">
        <f t="shared" si="33"/>
        <v/>
      </c>
      <c r="C152" s="49">
        <f>IF(D94="","-",+C151+1)</f>
        <v>2067</v>
      </c>
      <c r="D152" s="11">
        <f>IF(F151+SUM(E$100:E151)=D$93,F151,D$93-SUM(E$100:E151))</f>
        <v>0</v>
      </c>
      <c r="E152" s="377">
        <f>IF(+J97&lt;F151,J97,D152)</f>
        <v>0</v>
      </c>
      <c r="F152" s="54">
        <f t="shared" si="58"/>
        <v>0</v>
      </c>
      <c r="G152" s="54">
        <f t="shared" si="59"/>
        <v>0</v>
      </c>
      <c r="H152" s="459">
        <f t="shared" si="60"/>
        <v>0</v>
      </c>
      <c r="I152" s="407">
        <f t="shared" si="61"/>
        <v>0</v>
      </c>
      <c r="J152" s="53">
        <f t="shared" si="63"/>
        <v>0</v>
      </c>
      <c r="K152" s="53"/>
      <c r="L152" s="112"/>
      <c r="M152" s="53">
        <f t="shared" si="64"/>
        <v>0</v>
      </c>
      <c r="N152" s="112"/>
      <c r="O152" s="53">
        <f t="shared" si="65"/>
        <v>0</v>
      </c>
      <c r="P152" s="53">
        <f t="shared" si="66"/>
        <v>0</v>
      </c>
      <c r="Q152" s="1"/>
      <c r="R152" s="1"/>
      <c r="S152" s="1"/>
      <c r="T152" s="1"/>
      <c r="U152" s="1"/>
    </row>
    <row r="153" spans="2:21">
      <c r="B153" t="str">
        <f t="shared" si="33"/>
        <v/>
      </c>
      <c r="C153" s="49">
        <f>IF(D94="","-",+C152+1)</f>
        <v>2068</v>
      </c>
      <c r="D153" s="11">
        <f>IF(F152+SUM(E$100:E152)=D$93,F152,D$93-SUM(E$100:E152))</f>
        <v>0</v>
      </c>
      <c r="E153" s="377">
        <f>IF(+J97&lt;F152,J97,D153)</f>
        <v>0</v>
      </c>
      <c r="F153" s="54">
        <f t="shared" si="58"/>
        <v>0</v>
      </c>
      <c r="G153" s="54">
        <f t="shared" si="59"/>
        <v>0</v>
      </c>
      <c r="H153" s="459">
        <f t="shared" si="60"/>
        <v>0</v>
      </c>
      <c r="I153" s="407">
        <f t="shared" si="61"/>
        <v>0</v>
      </c>
      <c r="J153" s="53">
        <f t="shared" si="63"/>
        <v>0</v>
      </c>
      <c r="K153" s="53"/>
      <c r="L153" s="112"/>
      <c r="M153" s="53">
        <f t="shared" si="64"/>
        <v>0</v>
      </c>
      <c r="N153" s="112"/>
      <c r="O153" s="53">
        <f t="shared" si="65"/>
        <v>0</v>
      </c>
      <c r="P153" s="53">
        <f t="shared" si="66"/>
        <v>0</v>
      </c>
      <c r="Q153" s="1"/>
      <c r="R153" s="1"/>
      <c r="S153" s="1"/>
      <c r="T153" s="1"/>
      <c r="U153" s="1"/>
    </row>
    <row r="154" spans="2:21">
      <c r="B154" t="str">
        <f t="shared" si="33"/>
        <v/>
      </c>
      <c r="C154" s="49">
        <f>IF(D94="","-",+C153+1)</f>
        <v>2069</v>
      </c>
      <c r="D154" s="11">
        <f>IF(F153+SUM(E$100:E153)=D$93,F153,D$93-SUM(E$100:E153))</f>
        <v>0</v>
      </c>
      <c r="E154" s="377">
        <f>IF(+J97&lt;F153,J97,D154)</f>
        <v>0</v>
      </c>
      <c r="F154" s="54">
        <f t="shared" si="58"/>
        <v>0</v>
      </c>
      <c r="G154" s="54">
        <f t="shared" si="59"/>
        <v>0</v>
      </c>
      <c r="H154" s="459">
        <f t="shared" si="60"/>
        <v>0</v>
      </c>
      <c r="I154" s="407">
        <f t="shared" si="61"/>
        <v>0</v>
      </c>
      <c r="J154" s="53">
        <f t="shared" si="63"/>
        <v>0</v>
      </c>
      <c r="K154" s="53"/>
      <c r="L154" s="112"/>
      <c r="M154" s="53">
        <f t="shared" si="64"/>
        <v>0</v>
      </c>
      <c r="N154" s="112"/>
      <c r="O154" s="53">
        <f t="shared" si="65"/>
        <v>0</v>
      </c>
      <c r="P154" s="53">
        <f t="shared" si="66"/>
        <v>0</v>
      </c>
      <c r="Q154" s="1"/>
      <c r="R154" s="1"/>
      <c r="S154" s="1"/>
      <c r="T154" s="1"/>
      <c r="U154" s="1"/>
    </row>
    <row r="155" spans="2:21" ht="13.5" thickBot="1">
      <c r="B155" t="str">
        <f t="shared" si="33"/>
        <v/>
      </c>
      <c r="C155" s="58">
        <f>IF(D94="","-",+C154+1)</f>
        <v>2070</v>
      </c>
      <c r="D155" s="11">
        <f>IF(F154+SUM(E$100:E154)=D$93,F154,D$93-SUM(E$100:E154))</f>
        <v>0</v>
      </c>
      <c r="E155" s="389">
        <f>IF(+J97&lt;F154,J97,D155)</f>
        <v>0</v>
      </c>
      <c r="F155" s="59">
        <f t="shared" si="58"/>
        <v>0</v>
      </c>
      <c r="G155" s="59">
        <f t="shared" si="59"/>
        <v>0</v>
      </c>
      <c r="H155" s="459">
        <f t="shared" si="60"/>
        <v>0</v>
      </c>
      <c r="I155" s="443">
        <f t="shared" si="61"/>
        <v>0</v>
      </c>
      <c r="J155" s="63">
        <f t="shared" si="63"/>
        <v>0</v>
      </c>
      <c r="K155" s="53"/>
      <c r="L155" s="113"/>
      <c r="M155" s="63">
        <f t="shared" si="64"/>
        <v>0</v>
      </c>
      <c r="N155" s="113"/>
      <c r="O155" s="63">
        <f t="shared" si="65"/>
        <v>0</v>
      </c>
      <c r="P155" s="63">
        <f t="shared" si="66"/>
        <v>0</v>
      </c>
      <c r="Q155" s="1"/>
      <c r="R155" s="1"/>
      <c r="S155" s="1"/>
      <c r="T155" s="1"/>
      <c r="U155" s="1"/>
    </row>
    <row r="156" spans="2:21">
      <c r="C156" s="11" t="s">
        <v>75</v>
      </c>
      <c r="D156" s="242"/>
      <c r="E156" s="242">
        <f>SUM(E100:E155)</f>
        <v>8535104</v>
      </c>
      <c r="F156" s="242"/>
      <c r="G156" s="242"/>
      <c r="H156" s="242">
        <f>SUM(H100:H155)</f>
        <v>22799058.101576693</v>
      </c>
      <c r="I156" s="242">
        <f>SUM(I100:I155)</f>
        <v>22799058.101576693</v>
      </c>
      <c r="J156" s="242">
        <f>SUM(J100:J155)</f>
        <v>0</v>
      </c>
      <c r="K156" s="242"/>
      <c r="L156" s="242"/>
      <c r="M156" s="242"/>
      <c r="N156" s="242"/>
      <c r="O156" s="242"/>
      <c r="P156" s="1"/>
      <c r="Q156" s="1"/>
      <c r="R156" s="1"/>
      <c r="S156" s="1"/>
      <c r="T156" s="1"/>
      <c r="U156" s="1"/>
    </row>
    <row r="157" spans="2:21">
      <c r="C157" t="s">
        <v>90</v>
      </c>
      <c r="D157" s="2"/>
      <c r="E157" s="1"/>
      <c r="F157" s="1"/>
      <c r="G157" s="1"/>
      <c r="H157" s="1"/>
      <c r="I157" s="260"/>
      <c r="J157" s="260"/>
      <c r="K157" s="242"/>
      <c r="L157" s="260"/>
      <c r="M157" s="260"/>
      <c r="N157" s="260"/>
      <c r="O157" s="260"/>
      <c r="P157" s="1"/>
      <c r="Q157" s="1"/>
      <c r="R157" s="1"/>
      <c r="S157" s="1"/>
      <c r="T157" s="1"/>
      <c r="U157" s="1"/>
    </row>
    <row r="158" spans="2:21">
      <c r="C158" s="83"/>
      <c r="D158" s="2"/>
      <c r="E158" s="1"/>
      <c r="F158" s="1"/>
      <c r="G158" s="1"/>
      <c r="H158" s="1"/>
      <c r="I158" s="260"/>
      <c r="J158" s="260"/>
      <c r="K158" s="242"/>
      <c r="L158" s="260"/>
      <c r="M158" s="260"/>
      <c r="N158" s="260"/>
      <c r="O158" s="260"/>
      <c r="P158" s="1"/>
      <c r="Q158" s="1"/>
      <c r="R158" s="1"/>
      <c r="S158" s="1"/>
      <c r="T158" s="1"/>
      <c r="U158" s="1"/>
    </row>
    <row r="159" spans="2:21">
      <c r="C159" s="97" t="s">
        <v>130</v>
      </c>
      <c r="D159" s="2"/>
      <c r="E159" s="1"/>
      <c r="F159" s="1"/>
      <c r="G159" s="1"/>
      <c r="H159" s="1"/>
      <c r="I159" s="260"/>
      <c r="J159" s="260"/>
      <c r="K159" s="242"/>
      <c r="L159" s="260"/>
      <c r="M159" s="260"/>
      <c r="N159" s="260"/>
      <c r="O159" s="260"/>
      <c r="P159" s="1"/>
      <c r="Q159" s="1"/>
      <c r="R159" s="1"/>
      <c r="S159" s="1"/>
      <c r="T159" s="1"/>
      <c r="U159" s="1"/>
    </row>
    <row r="160" spans="2:21">
      <c r="C160" s="25" t="s">
        <v>76</v>
      </c>
      <c r="D160" s="11"/>
      <c r="E160" s="11"/>
      <c r="F160" s="11"/>
      <c r="G160" s="11"/>
      <c r="H160" s="242"/>
      <c r="I160" s="242"/>
      <c r="J160" s="64"/>
      <c r="K160" s="64"/>
      <c r="L160" s="64"/>
      <c r="M160" s="64"/>
      <c r="N160" s="64"/>
      <c r="O160" s="64"/>
      <c r="P160" s="1"/>
      <c r="Q160" s="1"/>
      <c r="R160" s="1"/>
      <c r="S160" s="1"/>
      <c r="T160" s="1"/>
      <c r="U160" s="1"/>
    </row>
    <row r="161" spans="3:21">
      <c r="C161" s="84" t="s">
        <v>77</v>
      </c>
      <c r="D161" s="11"/>
      <c r="E161" s="11"/>
      <c r="F161" s="11"/>
      <c r="G161" s="11"/>
      <c r="H161" s="242"/>
      <c r="I161" s="242"/>
      <c r="J161" s="64"/>
      <c r="K161" s="64"/>
      <c r="L161" s="64"/>
      <c r="M161" s="64"/>
      <c r="N161" s="64"/>
      <c r="O161" s="64"/>
      <c r="P161" s="1"/>
      <c r="Q161" s="1"/>
      <c r="R161" s="1"/>
      <c r="S161" s="1"/>
      <c r="T161" s="1"/>
      <c r="U161" s="1"/>
    </row>
    <row r="162" spans="3:21">
      <c r="C162" s="84"/>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37" priority="1" stopIfTrue="1" operator="equal">
      <formula>$I$10</formula>
    </cfRule>
  </conditionalFormatting>
  <conditionalFormatting sqref="C100:C155">
    <cfRule type="cellIs" dxfId="36"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61">
    <tabColor theme="9" tint="0.39997558519241921"/>
  </sheetPr>
  <dimension ref="A1:U163"/>
  <sheetViews>
    <sheetView topLeftCell="A23" zoomScaleNormal="100" zoomScaleSheetLayoutView="78" workbookViewId="0">
      <selection activeCell="J23" sqref="J23"/>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"&amp;RIGHT(MID(CELL("filename",$A$1),FIND("]",CELL("filename",$A$1))+1,256),2)&amp;" of "&amp;COUNT('OKT.001:OKT.xyz - blank'!$P$3)-1</f>
        <v>OKT Project 10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816201.08529569418</v>
      </c>
      <c r="P5" s="1"/>
      <c r="R5" s="1"/>
      <c r="S5" s="1"/>
      <c r="T5" s="1"/>
      <c r="U5" s="1"/>
    </row>
    <row r="6" spans="1:21" ht="15.75">
      <c r="C6" s="6"/>
      <c r="D6" s="2"/>
      <c r="E6" s="1"/>
      <c r="F6" s="1"/>
      <c r="G6" s="1"/>
      <c r="H6" s="351"/>
      <c r="I6" s="351"/>
      <c r="J6" s="352"/>
      <c r="K6" s="22" t="s">
        <v>243</v>
      </c>
      <c r="L6" s="353"/>
      <c r="M6" s="1"/>
      <c r="N6" s="354">
        <f>VLOOKUP(I10,C17:I73,6)</f>
        <v>816201.08529569418</v>
      </c>
      <c r="O6" s="1"/>
      <c r="P6" s="1"/>
      <c r="R6" s="1"/>
      <c r="S6" s="1"/>
      <c r="T6" s="1"/>
      <c r="U6" s="1"/>
    </row>
    <row r="7" spans="1:21" ht="13.5" thickBot="1">
      <c r="C7" s="25" t="s">
        <v>46</v>
      </c>
      <c r="D7" s="96" t="s">
        <v>229</v>
      </c>
      <c r="E7" s="1"/>
      <c r="F7" s="1"/>
      <c r="G7" s="1"/>
      <c r="H7" s="260"/>
      <c r="I7" s="260"/>
      <c r="J7" s="242"/>
      <c r="K7" s="355" t="s">
        <v>47</v>
      </c>
      <c r="L7" s="356"/>
      <c r="M7" s="356"/>
      <c r="N7" s="357">
        <f>+N6-N5</f>
        <v>0</v>
      </c>
      <c r="O7" s="1"/>
      <c r="P7" s="1"/>
      <c r="R7" s="1"/>
      <c r="S7" s="1"/>
      <c r="T7" s="1"/>
      <c r="U7" s="1"/>
    </row>
    <row r="8" spans="1:21" ht="13.5" thickBot="1">
      <c r="C8" s="29"/>
      <c r="D8" s="1" t="s">
        <v>230</v>
      </c>
      <c r="E8" s="10"/>
      <c r="F8" s="10"/>
      <c r="G8" s="10"/>
      <c r="H8" s="10"/>
      <c r="I8" s="10"/>
      <c r="J8" s="10"/>
      <c r="K8" s="10"/>
      <c r="L8" s="10"/>
      <c r="M8" s="10"/>
      <c r="N8" s="10"/>
      <c r="O8" s="10"/>
      <c r="P8" s="1"/>
      <c r="R8" s="1"/>
      <c r="S8" s="1"/>
      <c r="T8" s="1"/>
      <c r="U8" s="1"/>
    </row>
    <row r="9" spans="1:21" ht="13.5" thickBot="1">
      <c r="C9" s="30" t="s">
        <v>48</v>
      </c>
      <c r="D9" s="89" t="s">
        <v>218</v>
      </c>
      <c r="E9" s="31" t="s">
        <v>310</v>
      </c>
      <c r="F9" s="526">
        <v>30750</v>
      </c>
      <c r="G9" s="31"/>
      <c r="H9" s="31"/>
      <c r="I9" s="32"/>
      <c r="J9" s="33"/>
      <c r="P9" s="1"/>
      <c r="R9" s="1"/>
      <c r="S9" s="1"/>
      <c r="T9" s="1"/>
      <c r="U9" s="1"/>
    </row>
    <row r="10" spans="1:21">
      <c r="C10" s="34" t="s">
        <v>49</v>
      </c>
      <c r="D10" s="358">
        <v>7210308.9500000002</v>
      </c>
      <c r="E10" s="1" t="s">
        <v>50</v>
      </c>
      <c r="G10" s="2"/>
      <c r="H10" s="2"/>
      <c r="I10" s="36">
        <f>+'OKT.WS.F.BPU.ATRR.Projected'!R100</f>
        <v>2025</v>
      </c>
      <c r="J10" s="33"/>
      <c r="K10" s="242" t="s">
        <v>51</v>
      </c>
      <c r="O10" s="1"/>
      <c r="P10" s="1"/>
      <c r="R10" s="1"/>
      <c r="S10" s="1"/>
      <c r="T10" s="1"/>
      <c r="U10" s="1"/>
    </row>
    <row r="11" spans="1:21">
      <c r="C11" s="34" t="s">
        <v>52</v>
      </c>
      <c r="D11" s="37">
        <v>2013</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12</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240343.63166666668</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73" si="0">IF(D17=F16,"","IU")</f>
        <v>IU</v>
      </c>
      <c r="C17" s="49">
        <f>IF(D11= "","-",D11)</f>
        <v>2013</v>
      </c>
      <c r="D17" s="371">
        <v>7200873.8200000003</v>
      </c>
      <c r="E17" s="372">
        <v>0</v>
      </c>
      <c r="F17" s="371">
        <v>7200873.8200000003</v>
      </c>
      <c r="G17" s="372">
        <v>66024.408436961749</v>
      </c>
      <c r="H17" s="374">
        <v>66024.408436961749</v>
      </c>
      <c r="I17" s="51">
        <v>0</v>
      </c>
      <c r="J17" s="51"/>
      <c r="K17" s="114">
        <f t="shared" ref="K17:K22" si="1">G17</f>
        <v>66024.408436961749</v>
      </c>
      <c r="L17" s="52">
        <f t="shared" ref="L17:L22" si="2">IF(K17&lt;&gt;0,+G17-K17,0)</f>
        <v>0</v>
      </c>
      <c r="M17" s="114">
        <f t="shared" ref="M17:M22" si="3">H17</f>
        <v>66024.408436961749</v>
      </c>
      <c r="N17" s="52">
        <f>IF(M17&lt;&gt;0,+H17-M17,0)</f>
        <v>0</v>
      </c>
      <c r="O17" s="53">
        <f>+N17-L17</f>
        <v>0</v>
      </c>
      <c r="P17" s="1"/>
      <c r="R17" s="1"/>
      <c r="S17" s="1"/>
      <c r="T17" s="1"/>
      <c r="U17" s="1"/>
    </row>
    <row r="18" spans="2:21">
      <c r="B18" t="str">
        <f t="shared" si="0"/>
        <v/>
      </c>
      <c r="C18" s="49">
        <f>IF(D11="","-",+C17+1)</f>
        <v>2014</v>
      </c>
      <c r="D18" s="375">
        <v>7200873.8200000003</v>
      </c>
      <c r="E18" s="373">
        <v>124569.42917795427</v>
      </c>
      <c r="F18" s="375">
        <v>7076304.3908220464</v>
      </c>
      <c r="G18" s="373">
        <v>903156.28905530274</v>
      </c>
      <c r="H18" s="374">
        <v>903156.28905530274</v>
      </c>
      <c r="I18" s="51">
        <v>0</v>
      </c>
      <c r="J18" s="51"/>
      <c r="K18" s="419">
        <f t="shared" si="1"/>
        <v>903156.28905530274</v>
      </c>
      <c r="L18" s="422">
        <f t="shared" si="2"/>
        <v>0</v>
      </c>
      <c r="M18" s="419">
        <f t="shared" si="3"/>
        <v>903156.28905530274</v>
      </c>
      <c r="N18" s="421">
        <f>IF(M18&lt;&gt;0,+H18-M18,0)</f>
        <v>0</v>
      </c>
      <c r="O18" s="422">
        <f>+N18-L18</f>
        <v>0</v>
      </c>
      <c r="P18" s="1"/>
      <c r="R18" s="1"/>
      <c r="S18" s="1"/>
      <c r="T18" s="1"/>
      <c r="U18" s="1"/>
    </row>
    <row r="19" spans="2:21">
      <c r="B19" t="str">
        <f t="shared" si="0"/>
        <v/>
      </c>
      <c r="C19" s="49">
        <f>IF(D11="","-",+C18+1)</f>
        <v>2015</v>
      </c>
      <c r="D19" s="435">
        <v>7076304.3908220464</v>
      </c>
      <c r="E19" s="434">
        <v>124569.42917795427</v>
      </c>
      <c r="F19" s="435">
        <v>6951734.9616440926</v>
      </c>
      <c r="G19" s="434">
        <v>841053.03893843992</v>
      </c>
      <c r="H19" s="438">
        <v>841053.03893843992</v>
      </c>
      <c r="I19" s="51">
        <v>0</v>
      </c>
      <c r="J19" s="51"/>
      <c r="K19" s="419">
        <f t="shared" si="1"/>
        <v>841053.03893843992</v>
      </c>
      <c r="L19" s="422">
        <f t="shared" si="2"/>
        <v>0</v>
      </c>
      <c r="M19" s="419">
        <f t="shared" si="3"/>
        <v>841053.03893843992</v>
      </c>
      <c r="N19" s="421">
        <f>IF(M19&lt;&gt;0,+H19-M19,0)</f>
        <v>0</v>
      </c>
      <c r="O19" s="422">
        <f>+N19-L19</f>
        <v>0</v>
      </c>
      <c r="P19" s="1"/>
      <c r="R19" s="1"/>
      <c r="S19" s="1"/>
      <c r="T19" s="1"/>
      <c r="U19" s="1"/>
    </row>
    <row r="20" spans="2:21">
      <c r="B20" t="str">
        <f t="shared" si="0"/>
        <v/>
      </c>
      <c r="C20" s="49">
        <f>IF(D11="","-",+C19+1)</f>
        <v>2016</v>
      </c>
      <c r="D20" s="435">
        <v>6951734.9616440926</v>
      </c>
      <c r="E20" s="434">
        <v>149630.22739831218</v>
      </c>
      <c r="F20" s="435">
        <v>6802104.7342457809</v>
      </c>
      <c r="G20" s="434">
        <v>883443.80340987013</v>
      </c>
      <c r="H20" s="438">
        <v>883443.80340987013</v>
      </c>
      <c r="I20" s="51">
        <f>H20-G20</f>
        <v>0</v>
      </c>
      <c r="J20" s="51"/>
      <c r="K20" s="419">
        <f t="shared" si="1"/>
        <v>883443.80340987013</v>
      </c>
      <c r="L20" s="422">
        <f t="shared" si="2"/>
        <v>0</v>
      </c>
      <c r="M20" s="419">
        <f t="shared" si="3"/>
        <v>883443.80340987013</v>
      </c>
      <c r="N20" s="53">
        <f t="shared" ref="N20:N73" si="4">IF(M20&lt;&gt;0,+H20-M20,0)</f>
        <v>0</v>
      </c>
      <c r="O20" s="53">
        <f t="shared" ref="O20:O73" si="5">+N20-L20</f>
        <v>0</v>
      </c>
      <c r="P20" s="1"/>
      <c r="R20" s="1"/>
      <c r="S20" s="1"/>
      <c r="T20" s="1"/>
      <c r="U20" s="1"/>
    </row>
    <row r="21" spans="2:21">
      <c r="B21" t="str">
        <f t="shared" si="0"/>
        <v>IU</v>
      </c>
      <c r="C21" s="49">
        <f>IF(D11="","-",+C20+1)</f>
        <v>2017</v>
      </c>
      <c r="D21" s="435">
        <v>6811539.9142457796</v>
      </c>
      <c r="E21" s="434">
        <v>141768.94979225809</v>
      </c>
      <c r="F21" s="435">
        <v>6669770.9644535212</v>
      </c>
      <c r="G21" s="434">
        <v>882836.42245279858</v>
      </c>
      <c r="H21" s="438">
        <v>882836.42245279858</v>
      </c>
      <c r="I21" s="51">
        <f t="shared" ref="I21:I73" si="6">H21-G21</f>
        <v>0</v>
      </c>
      <c r="J21" s="51"/>
      <c r="K21" s="419">
        <f t="shared" si="1"/>
        <v>882836.42245279858</v>
      </c>
      <c r="L21" s="422">
        <f t="shared" si="2"/>
        <v>0</v>
      </c>
      <c r="M21" s="419">
        <f t="shared" si="3"/>
        <v>882836.42245279858</v>
      </c>
      <c r="N21" s="53">
        <f>IF(M21&lt;&gt;0,+H21-M21,0)</f>
        <v>0</v>
      </c>
      <c r="O21" s="53">
        <f>+N21-L21</f>
        <v>0</v>
      </c>
      <c r="P21" s="1"/>
      <c r="R21" s="1"/>
      <c r="S21" s="1"/>
      <c r="T21" s="1"/>
      <c r="U21" s="1"/>
    </row>
    <row r="22" spans="2:21">
      <c r="B22" t="str">
        <f t="shared" si="0"/>
        <v/>
      </c>
      <c r="C22" s="49">
        <f>IF(D11="","-",+C21+1)</f>
        <v>2018</v>
      </c>
      <c r="D22" s="435">
        <v>6669770.9644535212</v>
      </c>
      <c r="E22" s="434">
        <v>176829.81385654397</v>
      </c>
      <c r="F22" s="435">
        <v>6492941.1505969772</v>
      </c>
      <c r="G22" s="434">
        <v>845651.23589628318</v>
      </c>
      <c r="H22" s="438">
        <v>845651.23589628318</v>
      </c>
      <c r="I22" s="51">
        <v>0</v>
      </c>
      <c r="J22" s="51"/>
      <c r="K22" s="419">
        <f t="shared" si="1"/>
        <v>845651.23589628318</v>
      </c>
      <c r="L22" s="422">
        <f t="shared" si="2"/>
        <v>0</v>
      </c>
      <c r="M22" s="419">
        <f t="shared" si="3"/>
        <v>845651.23589628318</v>
      </c>
      <c r="N22" s="53">
        <f>IF(M22&lt;&gt;0,+H22-M22,0)</f>
        <v>0</v>
      </c>
      <c r="O22" s="53">
        <f>+N22-L22</f>
        <v>0</v>
      </c>
      <c r="P22" s="1"/>
      <c r="R22" s="1"/>
      <c r="S22" s="1"/>
      <c r="T22" s="1"/>
      <c r="U22" s="1"/>
    </row>
    <row r="23" spans="2:21">
      <c r="B23" t="str">
        <f t="shared" si="0"/>
        <v/>
      </c>
      <c r="C23" s="49">
        <f>IF(D11="","-",+C22+1)</f>
        <v>2019</v>
      </c>
      <c r="D23" s="435">
        <v>6492941.1505969772</v>
      </c>
      <c r="E23" s="434">
        <v>213849.4508925222</v>
      </c>
      <c r="F23" s="435">
        <v>6279091.6997044552</v>
      </c>
      <c r="G23" s="434">
        <v>877586.22744876624</v>
      </c>
      <c r="H23" s="438">
        <v>877586.22744876624</v>
      </c>
      <c r="I23" s="51">
        <f t="shared" si="6"/>
        <v>0</v>
      </c>
      <c r="J23" s="51"/>
      <c r="K23" s="419">
        <f t="shared" ref="K23" si="7">G23</f>
        <v>877586.22744876624</v>
      </c>
      <c r="L23" s="422">
        <f t="shared" ref="L23" si="8">IF(K23&lt;&gt;0,+G23-K23,0)</f>
        <v>0</v>
      </c>
      <c r="M23" s="419">
        <f t="shared" ref="M23" si="9">H23</f>
        <v>877586.22744876624</v>
      </c>
      <c r="N23" s="53">
        <f>IF(M23&lt;&gt;0,+H23-M23,0)</f>
        <v>0</v>
      </c>
      <c r="O23" s="53">
        <f>+N23-L23</f>
        <v>0</v>
      </c>
      <c r="P23" s="1"/>
      <c r="R23" s="1"/>
      <c r="S23" s="1"/>
      <c r="T23" s="1"/>
      <c r="U23" s="1"/>
    </row>
    <row r="24" spans="2:21">
      <c r="B24" t="str">
        <f t="shared" si="0"/>
        <v>IU</v>
      </c>
      <c r="C24" s="49">
        <f>IF(D11="","-",+C23+1)</f>
        <v>2020</v>
      </c>
      <c r="D24" s="435">
        <v>6316111.3367404332</v>
      </c>
      <c r="E24" s="434">
        <v>211130.68525810694</v>
      </c>
      <c r="F24" s="435">
        <v>6104980.651482326</v>
      </c>
      <c r="G24" s="434">
        <v>862818.59359815018</v>
      </c>
      <c r="H24" s="438">
        <v>862818.59359815018</v>
      </c>
      <c r="I24" s="51">
        <f t="shared" si="6"/>
        <v>0</v>
      </c>
      <c r="J24" s="51"/>
      <c r="K24" s="419">
        <f t="shared" ref="K24" si="10">G24</f>
        <v>862818.59359815018</v>
      </c>
      <c r="L24" s="422">
        <f t="shared" ref="L24" si="11">IF(K24&lt;&gt;0,+G24-K24,0)</f>
        <v>0</v>
      </c>
      <c r="M24" s="419">
        <f t="shared" ref="M24" si="12">H24</f>
        <v>862818.59359815018</v>
      </c>
      <c r="N24" s="53">
        <f t="shared" si="4"/>
        <v>0</v>
      </c>
      <c r="O24" s="53">
        <f t="shared" si="5"/>
        <v>0</v>
      </c>
      <c r="P24" s="1"/>
      <c r="R24" s="1"/>
      <c r="S24" s="1"/>
      <c r="T24" s="1"/>
      <c r="U24" s="1"/>
    </row>
    <row r="25" spans="2:21">
      <c r="B25" t="str">
        <f t="shared" si="0"/>
        <v>IU</v>
      </c>
      <c r="C25" s="49">
        <f>IF(D11="","-",+C24+1)</f>
        <v>2021</v>
      </c>
      <c r="D25" s="435">
        <v>6067961.014446348</v>
      </c>
      <c r="E25" s="434">
        <v>232590.61290322582</v>
      </c>
      <c r="F25" s="435">
        <v>5835370.4015431218</v>
      </c>
      <c r="G25" s="434">
        <v>876471.96738932701</v>
      </c>
      <c r="H25" s="438">
        <v>876471.96738932701</v>
      </c>
      <c r="I25" s="51">
        <f t="shared" si="6"/>
        <v>0</v>
      </c>
      <c r="J25" s="51"/>
      <c r="K25" s="419">
        <f t="shared" ref="K25" si="13">G25</f>
        <v>876471.96738932701</v>
      </c>
      <c r="L25" s="422">
        <f t="shared" ref="L25" si="14">IF(K25&lt;&gt;0,+G25-K25,0)</f>
        <v>0</v>
      </c>
      <c r="M25" s="419">
        <f t="shared" ref="M25" si="15">H25</f>
        <v>876471.96738932701</v>
      </c>
      <c r="N25" s="53">
        <f t="shared" si="4"/>
        <v>0</v>
      </c>
      <c r="O25" s="53">
        <f t="shared" si="5"/>
        <v>0</v>
      </c>
      <c r="P25" s="1"/>
      <c r="R25" s="1"/>
      <c r="S25" s="1"/>
      <c r="T25" s="1"/>
      <c r="U25" s="1"/>
    </row>
    <row r="26" spans="2:21">
      <c r="B26" t="str">
        <f t="shared" si="0"/>
        <v/>
      </c>
      <c r="C26" s="49">
        <f>IF(D11="","-",+C25+1)</f>
        <v>2022</v>
      </c>
      <c r="D26" s="435">
        <v>5835370.4015431218</v>
      </c>
      <c r="E26" s="434">
        <v>218494.21212121213</v>
      </c>
      <c r="F26" s="435">
        <v>5616876.1894219099</v>
      </c>
      <c r="G26" s="434">
        <v>875617.10069768119</v>
      </c>
      <c r="H26" s="438">
        <v>875617.10069768119</v>
      </c>
      <c r="I26" s="51">
        <f t="shared" si="6"/>
        <v>0</v>
      </c>
      <c r="J26" s="51"/>
      <c r="K26" s="419">
        <f t="shared" ref="K26" si="16">G26</f>
        <v>875617.10069768119</v>
      </c>
      <c r="L26" s="422">
        <f t="shared" ref="L26" si="17">IF(K26&lt;&gt;0,+G26-K26,0)</f>
        <v>0</v>
      </c>
      <c r="M26" s="419">
        <f t="shared" ref="M26" si="18">H26</f>
        <v>875617.10069768119</v>
      </c>
      <c r="N26" s="53">
        <f t="shared" si="4"/>
        <v>0</v>
      </c>
      <c r="O26" s="53">
        <f t="shared" si="5"/>
        <v>0</v>
      </c>
      <c r="P26" s="1"/>
      <c r="R26" s="1"/>
      <c r="S26" s="1"/>
      <c r="T26" s="1"/>
      <c r="U26" s="1"/>
    </row>
    <row r="27" spans="2:21">
      <c r="B27" t="str">
        <f t="shared" si="0"/>
        <v>IU</v>
      </c>
      <c r="C27" s="49">
        <f>IF(D11="","-",+C26+1)</f>
        <v>2023</v>
      </c>
      <c r="D27" s="435">
        <v>5616876.13942191</v>
      </c>
      <c r="E27" s="434">
        <v>232590.61129032259</v>
      </c>
      <c r="F27" s="435">
        <v>5384285.5281315874</v>
      </c>
      <c r="G27" s="434">
        <v>854336.96728904522</v>
      </c>
      <c r="H27" s="438">
        <v>854336.96728904522</v>
      </c>
      <c r="I27" s="51">
        <f t="shared" si="6"/>
        <v>0</v>
      </c>
      <c r="J27" s="51"/>
      <c r="K27" s="419">
        <f t="shared" ref="K27" si="19">G27</f>
        <v>854336.96728904522</v>
      </c>
      <c r="L27" s="422">
        <f t="shared" ref="L27" si="20">IF(K27&lt;&gt;0,+G27-K27,0)</f>
        <v>0</v>
      </c>
      <c r="M27" s="419">
        <f t="shared" ref="M27" si="21">H27</f>
        <v>854336.96728904522</v>
      </c>
      <c r="N27" s="53">
        <f t="shared" si="4"/>
        <v>0</v>
      </c>
      <c r="O27" s="53">
        <f t="shared" si="5"/>
        <v>0</v>
      </c>
      <c r="P27" s="1"/>
      <c r="R27" s="1"/>
      <c r="S27" s="1"/>
      <c r="T27" s="1"/>
      <c r="U27" s="1"/>
    </row>
    <row r="28" spans="2:21">
      <c r="B28" t="str">
        <f t="shared" si="0"/>
        <v/>
      </c>
      <c r="C28" s="49">
        <f>IF(D11="","-",+C27+1)</f>
        <v>2024</v>
      </c>
      <c r="D28" s="435">
        <v>5384285.5281315874</v>
      </c>
      <c r="E28" s="434">
        <v>232590.61129032259</v>
      </c>
      <c r="F28" s="435">
        <v>5151694.9168412648</v>
      </c>
      <c r="G28" s="434">
        <v>832781.34076982411</v>
      </c>
      <c r="H28" s="438">
        <v>832781.34076982411</v>
      </c>
      <c r="I28" s="51">
        <f t="shared" si="6"/>
        <v>0</v>
      </c>
      <c r="J28" s="51"/>
      <c r="K28" s="419">
        <f t="shared" ref="K28" si="22">G28</f>
        <v>832781.34076982411</v>
      </c>
      <c r="L28" s="422">
        <f t="shared" ref="L28" si="23">IF(K28&lt;&gt;0,+G28-K28,0)</f>
        <v>0</v>
      </c>
      <c r="M28" s="419">
        <f t="shared" ref="M28" si="24">H28</f>
        <v>832781.34076982411</v>
      </c>
      <c r="N28" s="53">
        <f t="shared" ref="N28" si="25">IF(M28&lt;&gt;0,+H28-M28,0)</f>
        <v>0</v>
      </c>
      <c r="O28" s="53">
        <f t="shared" ref="O28" si="26">+N28-L28</f>
        <v>0</v>
      </c>
      <c r="P28" s="1"/>
      <c r="R28" s="1"/>
      <c r="S28" s="1"/>
      <c r="T28" s="1"/>
      <c r="U28" s="1"/>
    </row>
    <row r="29" spans="2:21">
      <c r="B29" t="str">
        <f t="shared" si="0"/>
        <v/>
      </c>
      <c r="C29" s="49">
        <f>IF(D11="","-",+C28+1)</f>
        <v>2025</v>
      </c>
      <c r="D29" s="435">
        <v>5151694.9168412648</v>
      </c>
      <c r="E29" s="434">
        <v>240343.63166666668</v>
      </c>
      <c r="F29" s="435">
        <v>4911351.285174598</v>
      </c>
      <c r="G29" s="434">
        <v>816201.08529569418</v>
      </c>
      <c r="H29" s="438">
        <v>816201.08529569418</v>
      </c>
      <c r="I29" s="51">
        <f t="shared" si="6"/>
        <v>0</v>
      </c>
      <c r="J29" s="51"/>
      <c r="K29" s="419">
        <f t="shared" ref="K29" si="27">G29</f>
        <v>816201.08529569418</v>
      </c>
      <c r="L29" s="422">
        <f t="shared" ref="L29" si="28">IF(K29&lt;&gt;0,+G29-K29,0)</f>
        <v>0</v>
      </c>
      <c r="M29" s="419">
        <f t="shared" ref="M29" si="29">H29</f>
        <v>816201.08529569418</v>
      </c>
      <c r="N29" s="53">
        <f t="shared" ref="N29" si="30">IF(M29&lt;&gt;0,+H29-M29,0)</f>
        <v>0</v>
      </c>
      <c r="O29" s="53">
        <f t="shared" ref="O29" si="31">+N29-L29</f>
        <v>0</v>
      </c>
      <c r="P29" s="1"/>
      <c r="R29" s="1"/>
      <c r="S29" s="1"/>
      <c r="T29" s="1"/>
      <c r="U29" s="1"/>
    </row>
    <row r="30" spans="2:21">
      <c r="B30" t="str">
        <f t="shared" si="0"/>
        <v/>
      </c>
      <c r="C30" s="49">
        <f>IF(D11="","-",+C29+1)</f>
        <v>2026</v>
      </c>
      <c r="D30" s="54">
        <f>IF(F29+SUM(E$17:E29)=D$10,F29,D$10-SUM(E$17:E29))</f>
        <v>4911351.285174598</v>
      </c>
      <c r="E30" s="377">
        <f t="shared" ref="E30:E73" si="32">IF(+$I$14&lt;F29,$I$14,D30)</f>
        <v>240343.63166666668</v>
      </c>
      <c r="F30" s="54">
        <f t="shared" ref="F30:F73" si="33">+D30-E30</f>
        <v>4671007.6535079312</v>
      </c>
      <c r="G30" s="378">
        <f t="shared" ref="G30:G73" si="34">(D30+F30)/2*I$12+E30</f>
        <v>788693.77410004567</v>
      </c>
      <c r="H30" s="359">
        <f t="shared" ref="H30:H73" si="35">+(D30+F30)/2*I$13+E30</f>
        <v>788693.77410004567</v>
      </c>
      <c r="I30" s="51">
        <f t="shared" si="6"/>
        <v>0</v>
      </c>
      <c r="J30" s="51"/>
      <c r="K30" s="112"/>
      <c r="L30" s="53">
        <f t="shared" ref="L30:L73" si="36">IF(K30&lt;&gt;0,+G30-K30,0)</f>
        <v>0</v>
      </c>
      <c r="M30" s="112"/>
      <c r="N30" s="53">
        <f t="shared" si="4"/>
        <v>0</v>
      </c>
      <c r="O30" s="53">
        <f t="shared" si="5"/>
        <v>0</v>
      </c>
      <c r="P30" s="1"/>
      <c r="R30" s="1"/>
      <c r="S30" s="1"/>
      <c r="T30" s="1"/>
      <c r="U30" s="1"/>
    </row>
    <row r="31" spans="2:21">
      <c r="B31" t="str">
        <f t="shared" si="0"/>
        <v/>
      </c>
      <c r="C31" s="49">
        <f>IF(D11="","-",+C30+1)</f>
        <v>2027</v>
      </c>
      <c r="D31" s="54">
        <f>IF(F30+SUM(E$17:E30)=D$10,F30,D$10-SUM(E$17:E30))</f>
        <v>4671007.6535079312</v>
      </c>
      <c r="E31" s="377">
        <f t="shared" si="32"/>
        <v>240343.63166666668</v>
      </c>
      <c r="F31" s="54">
        <f t="shared" si="33"/>
        <v>4430664.0218412643</v>
      </c>
      <c r="G31" s="378">
        <f t="shared" si="34"/>
        <v>761186.46290439705</v>
      </c>
      <c r="H31" s="359">
        <f t="shared" si="35"/>
        <v>761186.46290439705</v>
      </c>
      <c r="I31" s="51">
        <f t="shared" si="6"/>
        <v>0</v>
      </c>
      <c r="J31" s="51"/>
      <c r="K31" s="112"/>
      <c r="L31" s="53">
        <f t="shared" si="36"/>
        <v>0</v>
      </c>
      <c r="M31" s="112"/>
      <c r="N31" s="53">
        <f t="shared" si="4"/>
        <v>0</v>
      </c>
      <c r="O31" s="53">
        <f t="shared" si="5"/>
        <v>0</v>
      </c>
      <c r="P31" s="1"/>
      <c r="R31" s="1"/>
      <c r="S31" s="1"/>
      <c r="T31" s="1"/>
      <c r="U31" s="1"/>
    </row>
    <row r="32" spans="2:21">
      <c r="B32" t="str">
        <f t="shared" si="0"/>
        <v/>
      </c>
      <c r="C32" s="49">
        <f>IF(D12="","-",+C31+1)</f>
        <v>2028</v>
      </c>
      <c r="D32" s="54">
        <f>IF(F31+SUM(E$17:E31)=D$10,F31,D$10-SUM(E$17:E31))</f>
        <v>4430664.0218412643</v>
      </c>
      <c r="E32" s="377">
        <f>IF(+$I$14&lt;F31,$I$14,D32)</f>
        <v>240343.63166666668</v>
      </c>
      <c r="F32" s="54">
        <f>+D32-E32</f>
        <v>4190320.3901745975</v>
      </c>
      <c r="G32" s="378">
        <f t="shared" si="34"/>
        <v>733679.15170874866</v>
      </c>
      <c r="H32" s="359">
        <f t="shared" si="35"/>
        <v>733679.15170874866</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2029</v>
      </c>
      <c r="D33" s="54">
        <f>IF(F32+SUM(E$17:E32)=D$10,F32,D$10-SUM(E$17:E32))</f>
        <v>4190320.3901745975</v>
      </c>
      <c r="E33" s="377">
        <f>IF(+$I$14&lt;F32,$I$14,D33)</f>
        <v>240343.63166666668</v>
      </c>
      <c r="F33" s="54">
        <f>+D33-E33</f>
        <v>3949976.7585079307</v>
      </c>
      <c r="G33" s="378">
        <f t="shared" si="34"/>
        <v>706171.84051310003</v>
      </c>
      <c r="H33" s="359">
        <f t="shared" si="35"/>
        <v>706171.84051310003</v>
      </c>
      <c r="I33" s="51">
        <f>H33-G33</f>
        <v>0</v>
      </c>
      <c r="J33" s="51"/>
      <c r="K33" s="112"/>
      <c r="L33" s="53">
        <f>IF(K33&lt;&gt;0,+G33-K33,0)</f>
        <v>0</v>
      </c>
      <c r="M33" s="112"/>
      <c r="N33" s="53">
        <f>IF(M33&lt;&gt;0,+H33-M33,0)</f>
        <v>0</v>
      </c>
      <c r="O33" s="53">
        <f>+N33-L33</f>
        <v>0</v>
      </c>
      <c r="P33" s="1"/>
      <c r="R33" s="1"/>
      <c r="S33" s="1"/>
      <c r="T33" s="1"/>
      <c r="U33" s="1"/>
    </row>
    <row r="34" spans="2:21">
      <c r="B34" t="str">
        <f t="shared" si="0"/>
        <v/>
      </c>
      <c r="C34" s="49">
        <f>IF(D14="","-",+C33+1)</f>
        <v>2030</v>
      </c>
      <c r="D34" s="380">
        <f>IF(F33+SUM(E$17:E33)=D$10,F33,D$10-SUM(E$17:E33))</f>
        <v>3949976.7585079307</v>
      </c>
      <c r="E34" s="381">
        <f t="shared" si="32"/>
        <v>240343.63166666668</v>
      </c>
      <c r="F34" s="380">
        <f t="shared" si="33"/>
        <v>3709633.1268412638</v>
      </c>
      <c r="G34" s="378">
        <f t="shared" si="34"/>
        <v>678664.52931745152</v>
      </c>
      <c r="H34" s="359">
        <f t="shared" si="35"/>
        <v>678664.52931745152</v>
      </c>
      <c r="I34" s="384">
        <f t="shared" si="6"/>
        <v>0</v>
      </c>
      <c r="J34" s="384"/>
      <c r="K34" s="385"/>
      <c r="L34" s="386">
        <f t="shared" si="36"/>
        <v>0</v>
      </c>
      <c r="M34" s="385"/>
      <c r="N34" s="386">
        <f t="shared" si="4"/>
        <v>0</v>
      </c>
      <c r="O34" s="386">
        <f t="shared" si="5"/>
        <v>0</v>
      </c>
      <c r="P34" s="387"/>
      <c r="Q34" s="187"/>
      <c r="R34" s="387"/>
      <c r="S34" s="387"/>
      <c r="T34" s="387"/>
      <c r="U34" s="1"/>
    </row>
    <row r="35" spans="2:21">
      <c r="B35" t="str">
        <f t="shared" si="0"/>
        <v/>
      </c>
      <c r="C35" s="49">
        <f>IF(D11="","-",+C34+1)</f>
        <v>2031</v>
      </c>
      <c r="D35" s="54">
        <f>IF(F34+SUM(E$17:E34)=D$10,F34,D$10-SUM(E$17:E34))</f>
        <v>3709633.1268412638</v>
      </c>
      <c r="E35" s="377">
        <f t="shared" si="32"/>
        <v>240343.63166666668</v>
      </c>
      <c r="F35" s="54">
        <f t="shared" si="33"/>
        <v>3469289.495174597</v>
      </c>
      <c r="G35" s="378">
        <f t="shared" si="34"/>
        <v>651157.21812180302</v>
      </c>
      <c r="H35" s="359">
        <f t="shared" si="35"/>
        <v>651157.21812180302</v>
      </c>
      <c r="I35" s="51">
        <f t="shared" si="6"/>
        <v>0</v>
      </c>
      <c r="J35" s="51"/>
      <c r="K35" s="112"/>
      <c r="L35" s="53">
        <f t="shared" si="36"/>
        <v>0</v>
      </c>
      <c r="M35" s="112"/>
      <c r="N35" s="53">
        <f t="shared" si="4"/>
        <v>0</v>
      </c>
      <c r="O35" s="53">
        <f t="shared" si="5"/>
        <v>0</v>
      </c>
      <c r="P35" s="1"/>
      <c r="R35" s="1"/>
      <c r="S35" s="1"/>
      <c r="T35" s="1"/>
      <c r="U35" s="1"/>
    </row>
    <row r="36" spans="2:21">
      <c r="B36" t="str">
        <f t="shared" si="0"/>
        <v/>
      </c>
      <c r="C36" s="49">
        <f>IF(D11="","-",+C35+1)</f>
        <v>2032</v>
      </c>
      <c r="D36" s="54">
        <f>IF(F35+SUM(E$17:E35)=D$10,F35,D$10-SUM(E$17:E35))</f>
        <v>3469289.495174597</v>
      </c>
      <c r="E36" s="377">
        <f t="shared" si="32"/>
        <v>240343.63166666668</v>
      </c>
      <c r="F36" s="54">
        <f t="shared" si="33"/>
        <v>3228945.8635079302</v>
      </c>
      <c r="G36" s="378">
        <f t="shared" si="34"/>
        <v>623649.90692615451</v>
      </c>
      <c r="H36" s="359">
        <f t="shared" si="35"/>
        <v>623649.90692615451</v>
      </c>
      <c r="I36" s="51">
        <f t="shared" si="6"/>
        <v>0</v>
      </c>
      <c r="J36" s="51"/>
      <c r="K36" s="112"/>
      <c r="L36" s="53">
        <f t="shared" si="36"/>
        <v>0</v>
      </c>
      <c r="M36" s="112"/>
      <c r="N36" s="53">
        <f t="shared" si="4"/>
        <v>0</v>
      </c>
      <c r="O36" s="53">
        <f t="shared" si="5"/>
        <v>0</v>
      </c>
      <c r="P36" s="1"/>
      <c r="R36" s="1"/>
      <c r="S36" s="1"/>
      <c r="T36" s="1"/>
      <c r="U36" s="1"/>
    </row>
    <row r="37" spans="2:21">
      <c r="B37" t="str">
        <f t="shared" si="0"/>
        <v/>
      </c>
      <c r="C37" s="49">
        <f>IF(D11="","-",+C36+1)</f>
        <v>2033</v>
      </c>
      <c r="D37" s="54">
        <f>IF(F36+SUM(E$17:E36)=D$10,F36,D$10-SUM(E$17:E36))</f>
        <v>3228945.8635079302</v>
      </c>
      <c r="E37" s="377">
        <f t="shared" si="32"/>
        <v>240343.63166666668</v>
      </c>
      <c r="F37" s="54">
        <f t="shared" si="33"/>
        <v>2988602.2318412634</v>
      </c>
      <c r="G37" s="378">
        <f t="shared" si="34"/>
        <v>596142.595730506</v>
      </c>
      <c r="H37" s="359">
        <f t="shared" si="35"/>
        <v>596142.595730506</v>
      </c>
      <c r="I37" s="51">
        <f t="shared" si="6"/>
        <v>0</v>
      </c>
      <c r="J37" s="51"/>
      <c r="K37" s="112"/>
      <c r="L37" s="53">
        <f t="shared" si="36"/>
        <v>0</v>
      </c>
      <c r="M37" s="112"/>
      <c r="N37" s="53">
        <f t="shared" si="4"/>
        <v>0</v>
      </c>
      <c r="O37" s="53">
        <f t="shared" si="5"/>
        <v>0</v>
      </c>
      <c r="P37" s="1"/>
      <c r="R37" s="1"/>
      <c r="S37" s="1"/>
      <c r="T37" s="1"/>
      <c r="U37" s="1"/>
    </row>
    <row r="38" spans="2:21">
      <c r="B38" t="str">
        <f t="shared" si="0"/>
        <v/>
      </c>
      <c r="C38" s="49">
        <f>IF(D11="","-",+C37+1)</f>
        <v>2034</v>
      </c>
      <c r="D38" s="54">
        <f>IF(F37+SUM(E$17:E37)=D$10,F37,D$10-SUM(E$17:E37))</f>
        <v>2988602.2318412634</v>
      </c>
      <c r="E38" s="377">
        <f t="shared" si="32"/>
        <v>240343.63166666668</v>
      </c>
      <c r="F38" s="54">
        <f t="shared" si="33"/>
        <v>2748258.6001745965</v>
      </c>
      <c r="G38" s="378">
        <f t="shared" si="34"/>
        <v>568635.28453485749</v>
      </c>
      <c r="H38" s="359">
        <f t="shared" si="35"/>
        <v>568635.28453485749</v>
      </c>
      <c r="I38" s="51">
        <f t="shared" si="6"/>
        <v>0</v>
      </c>
      <c r="J38" s="51"/>
      <c r="K38" s="112"/>
      <c r="L38" s="53">
        <f t="shared" si="36"/>
        <v>0</v>
      </c>
      <c r="M38" s="112"/>
      <c r="N38" s="53">
        <f t="shared" si="4"/>
        <v>0</v>
      </c>
      <c r="O38" s="53">
        <f t="shared" si="5"/>
        <v>0</v>
      </c>
      <c r="P38" s="1"/>
      <c r="R38" s="1"/>
      <c r="S38" s="1"/>
      <c r="T38" s="1"/>
      <c r="U38" s="1"/>
    </row>
    <row r="39" spans="2:21">
      <c r="B39" t="str">
        <f t="shared" si="0"/>
        <v/>
      </c>
      <c r="C39" s="49">
        <f>IF(D11="","-",+C38+1)</f>
        <v>2035</v>
      </c>
      <c r="D39" s="54">
        <f>IF(F38+SUM(E$17:E38)=D$10,F38,D$10-SUM(E$17:E38))</f>
        <v>2748258.6001745965</v>
      </c>
      <c r="E39" s="377">
        <f t="shared" si="32"/>
        <v>240343.63166666668</v>
      </c>
      <c r="F39" s="54">
        <f t="shared" si="33"/>
        <v>2507914.9685079297</v>
      </c>
      <c r="G39" s="378">
        <f t="shared" si="34"/>
        <v>541127.97333920887</v>
      </c>
      <c r="H39" s="359">
        <f t="shared" si="35"/>
        <v>541127.97333920887</v>
      </c>
      <c r="I39" s="51">
        <f t="shared" si="6"/>
        <v>0</v>
      </c>
      <c r="J39" s="51"/>
      <c r="K39" s="112"/>
      <c r="L39" s="53">
        <f t="shared" si="36"/>
        <v>0</v>
      </c>
      <c r="M39" s="112"/>
      <c r="N39" s="53">
        <f t="shared" si="4"/>
        <v>0</v>
      </c>
      <c r="O39" s="53">
        <f t="shared" si="5"/>
        <v>0</v>
      </c>
      <c r="P39" s="1"/>
      <c r="R39" s="1"/>
      <c r="S39" s="1"/>
      <c r="T39" s="1"/>
      <c r="U39" s="1"/>
    </row>
    <row r="40" spans="2:21">
      <c r="B40" t="str">
        <f t="shared" si="0"/>
        <v/>
      </c>
      <c r="C40" s="49">
        <f>IF(D11="","-",+C39+1)</f>
        <v>2036</v>
      </c>
      <c r="D40" s="54">
        <f>IF(F39+SUM(E$17:E39)=D$10,F39,D$10-SUM(E$17:E39))</f>
        <v>2507914.9685079297</v>
      </c>
      <c r="E40" s="377">
        <f t="shared" si="32"/>
        <v>240343.63166666668</v>
      </c>
      <c r="F40" s="54">
        <f t="shared" si="33"/>
        <v>2267571.3368412629</v>
      </c>
      <c r="G40" s="378">
        <f t="shared" si="34"/>
        <v>513620.66214356036</v>
      </c>
      <c r="H40" s="359">
        <f t="shared" si="35"/>
        <v>513620.66214356036</v>
      </c>
      <c r="I40" s="51">
        <f t="shared" si="6"/>
        <v>0</v>
      </c>
      <c r="J40" s="51"/>
      <c r="K40" s="112"/>
      <c r="L40" s="53">
        <f t="shared" si="36"/>
        <v>0</v>
      </c>
      <c r="M40" s="112"/>
      <c r="N40" s="53">
        <f t="shared" si="4"/>
        <v>0</v>
      </c>
      <c r="O40" s="53">
        <f t="shared" si="5"/>
        <v>0</v>
      </c>
      <c r="P40" s="1"/>
      <c r="R40" s="1"/>
      <c r="S40" s="1"/>
      <c r="T40" s="1"/>
      <c r="U40" s="1"/>
    </row>
    <row r="41" spans="2:21">
      <c r="B41" t="str">
        <f t="shared" si="0"/>
        <v/>
      </c>
      <c r="C41" s="49">
        <f>IF(D12="","-",+C40+1)</f>
        <v>2037</v>
      </c>
      <c r="D41" s="54">
        <f>IF(F40+SUM(E$17:E40)=D$10,F40,D$10-SUM(E$17:E40))</f>
        <v>2267571.3368412629</v>
      </c>
      <c r="E41" s="377">
        <f t="shared" si="32"/>
        <v>240343.63166666668</v>
      </c>
      <c r="F41" s="54">
        <f t="shared" si="33"/>
        <v>2027227.7051745963</v>
      </c>
      <c r="G41" s="378">
        <f t="shared" si="34"/>
        <v>486113.35094791185</v>
      </c>
      <c r="H41" s="359">
        <f t="shared" si="35"/>
        <v>486113.35094791185</v>
      </c>
      <c r="I41" s="51">
        <f t="shared" si="6"/>
        <v>0</v>
      </c>
      <c r="J41" s="51"/>
      <c r="K41" s="112"/>
      <c r="L41" s="53">
        <f t="shared" si="36"/>
        <v>0</v>
      </c>
      <c r="M41" s="112"/>
      <c r="N41" s="53">
        <f t="shared" si="4"/>
        <v>0</v>
      </c>
      <c r="O41" s="53">
        <f t="shared" si="5"/>
        <v>0</v>
      </c>
      <c r="P41" s="1"/>
      <c r="R41" s="1"/>
      <c r="S41" s="1"/>
      <c r="T41" s="1"/>
      <c r="U41" s="1"/>
    </row>
    <row r="42" spans="2:21">
      <c r="B42" t="str">
        <f t="shared" si="0"/>
        <v/>
      </c>
      <c r="C42" s="49">
        <f>IF(D13="","-",+C41+1)</f>
        <v>2038</v>
      </c>
      <c r="D42" s="54">
        <f>IF(F41+SUM(E$17:E41)=D$10,F41,D$10-SUM(E$17:E41))</f>
        <v>2027227.7051745963</v>
      </c>
      <c r="E42" s="377">
        <f t="shared" si="32"/>
        <v>240343.63166666668</v>
      </c>
      <c r="F42" s="54">
        <f t="shared" si="33"/>
        <v>1786884.0735079297</v>
      </c>
      <c r="G42" s="378">
        <f t="shared" si="34"/>
        <v>458606.0397522634</v>
      </c>
      <c r="H42" s="359">
        <f t="shared" si="35"/>
        <v>458606.0397522634</v>
      </c>
      <c r="I42" s="51">
        <f t="shared" si="6"/>
        <v>0</v>
      </c>
      <c r="J42" s="51"/>
      <c r="K42" s="112"/>
      <c r="L42" s="53">
        <f t="shared" si="36"/>
        <v>0</v>
      </c>
      <c r="M42" s="112"/>
      <c r="N42" s="53">
        <f t="shared" si="4"/>
        <v>0</v>
      </c>
      <c r="O42" s="53">
        <f t="shared" si="5"/>
        <v>0</v>
      </c>
      <c r="P42" s="1"/>
      <c r="R42" s="1"/>
      <c r="S42" s="1"/>
      <c r="T42" s="1"/>
      <c r="U42" s="1"/>
    </row>
    <row r="43" spans="2:21">
      <c r="B43" t="str">
        <f t="shared" si="0"/>
        <v/>
      </c>
      <c r="C43" s="49">
        <f>IF(D11="","-",+C42+1)</f>
        <v>2039</v>
      </c>
      <c r="D43" s="54">
        <f>IF(F42+SUM(E$17:E42)=D$10,F42,D$10-SUM(E$17:E42))</f>
        <v>1786884.0735079297</v>
      </c>
      <c r="E43" s="377">
        <f t="shared" si="32"/>
        <v>240343.63166666668</v>
      </c>
      <c r="F43" s="54">
        <f t="shared" si="33"/>
        <v>1546540.4418412631</v>
      </c>
      <c r="G43" s="378">
        <f t="shared" si="34"/>
        <v>431098.72855661483</v>
      </c>
      <c r="H43" s="359">
        <f t="shared" si="35"/>
        <v>431098.72855661483</v>
      </c>
      <c r="I43" s="51">
        <f t="shared" si="6"/>
        <v>0</v>
      </c>
      <c r="J43" s="51"/>
      <c r="K43" s="112"/>
      <c r="L43" s="53">
        <f t="shared" si="36"/>
        <v>0</v>
      </c>
      <c r="M43" s="112"/>
      <c r="N43" s="53">
        <f t="shared" si="4"/>
        <v>0</v>
      </c>
      <c r="O43" s="53">
        <f t="shared" si="5"/>
        <v>0</v>
      </c>
      <c r="P43" s="1"/>
      <c r="R43" s="1"/>
      <c r="S43" s="1"/>
      <c r="T43" s="1"/>
      <c r="U43" s="1"/>
    </row>
    <row r="44" spans="2:21">
      <c r="B44" t="str">
        <f t="shared" si="0"/>
        <v/>
      </c>
      <c r="C44" s="49">
        <f>IF(D11="","-",+C43+1)</f>
        <v>2040</v>
      </c>
      <c r="D44" s="54">
        <f>IF(F43+SUM(E$17:E43)=D$10,F43,D$10-SUM(E$17:E43))</f>
        <v>1546540.4418412631</v>
      </c>
      <c r="E44" s="377">
        <f t="shared" si="32"/>
        <v>240343.63166666668</v>
      </c>
      <c r="F44" s="54">
        <f t="shared" si="33"/>
        <v>1306196.8101745965</v>
      </c>
      <c r="G44" s="378">
        <f t="shared" si="34"/>
        <v>403591.41736096638</v>
      </c>
      <c r="H44" s="359">
        <f t="shared" si="35"/>
        <v>403591.41736096638</v>
      </c>
      <c r="I44" s="51">
        <f t="shared" si="6"/>
        <v>0</v>
      </c>
      <c r="J44" s="51"/>
      <c r="K44" s="112"/>
      <c r="L44" s="53">
        <f t="shared" si="36"/>
        <v>0</v>
      </c>
      <c r="M44" s="112"/>
      <c r="N44" s="53">
        <f t="shared" si="4"/>
        <v>0</v>
      </c>
      <c r="O44" s="53">
        <f t="shared" si="5"/>
        <v>0</v>
      </c>
      <c r="P44" s="1"/>
      <c r="R44" s="1"/>
      <c r="S44" s="1"/>
      <c r="T44" s="1"/>
      <c r="U44" s="1"/>
    </row>
    <row r="45" spans="2:21">
      <c r="B45" t="str">
        <f t="shared" si="0"/>
        <v/>
      </c>
      <c r="C45" s="49">
        <f>IF(D11="","-",+C44+1)</f>
        <v>2041</v>
      </c>
      <c r="D45" s="54">
        <f>IF(F44+SUM(E$17:E44)=D$10,F44,D$10-SUM(E$17:E44))</f>
        <v>1306196.8101745965</v>
      </c>
      <c r="E45" s="377">
        <f t="shared" si="32"/>
        <v>240343.63166666668</v>
      </c>
      <c r="F45" s="54">
        <f t="shared" si="33"/>
        <v>1065853.1785079299</v>
      </c>
      <c r="G45" s="378">
        <f t="shared" si="34"/>
        <v>376084.10616531788</v>
      </c>
      <c r="H45" s="359">
        <f t="shared" si="35"/>
        <v>376084.10616531788</v>
      </c>
      <c r="I45" s="51">
        <f t="shared" si="6"/>
        <v>0</v>
      </c>
      <c r="J45" s="51"/>
      <c r="K45" s="112"/>
      <c r="L45" s="53">
        <f t="shared" si="36"/>
        <v>0</v>
      </c>
      <c r="M45" s="112"/>
      <c r="N45" s="53">
        <f t="shared" si="4"/>
        <v>0</v>
      </c>
      <c r="O45" s="53">
        <f t="shared" si="5"/>
        <v>0</v>
      </c>
      <c r="P45" s="1"/>
      <c r="R45" s="1"/>
      <c r="S45" s="1"/>
      <c r="T45" s="1"/>
      <c r="U45" s="1"/>
    </row>
    <row r="46" spans="2:21">
      <c r="B46" t="str">
        <f t="shared" si="0"/>
        <v/>
      </c>
      <c r="C46" s="49">
        <f>IF(D11="","-",+C45+1)</f>
        <v>2042</v>
      </c>
      <c r="D46" s="54">
        <f>IF(F45+SUM(E$17:E45)=D$10,F45,D$10-SUM(E$17:E45))</f>
        <v>1065853.1785079299</v>
      </c>
      <c r="E46" s="377">
        <f t="shared" si="32"/>
        <v>240343.63166666668</v>
      </c>
      <c r="F46" s="54">
        <f t="shared" si="33"/>
        <v>825509.54684126319</v>
      </c>
      <c r="G46" s="378">
        <f t="shared" si="34"/>
        <v>348576.79496966937</v>
      </c>
      <c r="H46" s="359">
        <f t="shared" si="35"/>
        <v>348576.79496966937</v>
      </c>
      <c r="I46" s="51">
        <f t="shared" si="6"/>
        <v>0</v>
      </c>
      <c r="J46" s="51"/>
      <c r="K46" s="112"/>
      <c r="L46" s="53">
        <f t="shared" si="36"/>
        <v>0</v>
      </c>
      <c r="M46" s="112"/>
      <c r="N46" s="53">
        <f t="shared" si="4"/>
        <v>0</v>
      </c>
      <c r="O46" s="53">
        <f t="shared" si="5"/>
        <v>0</v>
      </c>
      <c r="P46" s="1"/>
      <c r="R46" s="1"/>
      <c r="S46" s="1"/>
      <c r="T46" s="1"/>
      <c r="U46" s="1"/>
    </row>
    <row r="47" spans="2:21">
      <c r="B47" t="str">
        <f t="shared" si="0"/>
        <v/>
      </c>
      <c r="C47" s="49">
        <f>IF(D11="","-",+C46+1)</f>
        <v>2043</v>
      </c>
      <c r="D47" s="54">
        <f>IF(F46+SUM(E$17:E46)=D$10,F46,D$10-SUM(E$17:E46))</f>
        <v>825509.54684126319</v>
      </c>
      <c r="E47" s="377">
        <f t="shared" si="32"/>
        <v>240343.63166666668</v>
      </c>
      <c r="F47" s="54">
        <f t="shared" si="33"/>
        <v>585165.91517459648</v>
      </c>
      <c r="G47" s="378">
        <f t="shared" si="34"/>
        <v>321069.48377402086</v>
      </c>
      <c r="H47" s="359">
        <f t="shared" si="35"/>
        <v>321069.48377402086</v>
      </c>
      <c r="I47" s="51">
        <f t="shared" si="6"/>
        <v>0</v>
      </c>
      <c r="J47" s="51"/>
      <c r="K47" s="112"/>
      <c r="L47" s="53">
        <f t="shared" si="36"/>
        <v>0</v>
      </c>
      <c r="M47" s="112"/>
      <c r="N47" s="53">
        <f t="shared" si="4"/>
        <v>0</v>
      </c>
      <c r="O47" s="53">
        <f t="shared" si="5"/>
        <v>0</v>
      </c>
      <c r="P47" s="1"/>
      <c r="R47" s="1"/>
      <c r="S47" s="1"/>
      <c r="T47" s="1"/>
      <c r="U47" s="1"/>
    </row>
    <row r="48" spans="2:21">
      <c r="B48" t="str">
        <f t="shared" si="0"/>
        <v/>
      </c>
      <c r="C48" s="49">
        <f>IF(D11="","-",+C47+1)</f>
        <v>2044</v>
      </c>
      <c r="D48" s="54">
        <f>IF(F47+SUM(E$17:E47)=D$10,F47,D$10-SUM(E$17:E47))</f>
        <v>585165.91517459648</v>
      </c>
      <c r="E48" s="377">
        <f t="shared" si="32"/>
        <v>240343.63166666668</v>
      </c>
      <c r="F48" s="54">
        <f t="shared" si="33"/>
        <v>344822.28350792977</v>
      </c>
      <c r="G48" s="378">
        <f t="shared" si="34"/>
        <v>293562.17257837235</v>
      </c>
      <c r="H48" s="359">
        <f t="shared" si="35"/>
        <v>293562.17257837235</v>
      </c>
      <c r="I48" s="51">
        <f t="shared" si="6"/>
        <v>0</v>
      </c>
      <c r="J48" s="51"/>
      <c r="K48" s="112"/>
      <c r="L48" s="53">
        <f t="shared" si="36"/>
        <v>0</v>
      </c>
      <c r="M48" s="112"/>
      <c r="N48" s="53">
        <f t="shared" si="4"/>
        <v>0</v>
      </c>
      <c r="O48" s="53">
        <f t="shared" si="5"/>
        <v>0</v>
      </c>
      <c r="P48" s="1"/>
      <c r="R48" s="1"/>
      <c r="S48" s="1"/>
      <c r="T48" s="1"/>
      <c r="U48" s="1"/>
    </row>
    <row r="49" spans="2:21">
      <c r="B49" t="str">
        <f t="shared" si="0"/>
        <v/>
      </c>
      <c r="C49" s="49">
        <f>IF(D11="","-",+C48+1)</f>
        <v>2045</v>
      </c>
      <c r="D49" s="54">
        <f>IF(F48+SUM(E$17:E48)=D$10,F48,D$10-SUM(E$17:E48))</f>
        <v>344822.28350792977</v>
      </c>
      <c r="E49" s="377">
        <f t="shared" si="32"/>
        <v>240343.63166666668</v>
      </c>
      <c r="F49" s="54">
        <f t="shared" si="33"/>
        <v>104478.65184126308</v>
      </c>
      <c r="G49" s="378">
        <f t="shared" si="34"/>
        <v>266054.86138272384</v>
      </c>
      <c r="H49" s="359">
        <f t="shared" si="35"/>
        <v>266054.86138272384</v>
      </c>
      <c r="I49" s="51">
        <f t="shared" si="6"/>
        <v>0</v>
      </c>
      <c r="J49" s="51"/>
      <c r="K49" s="112"/>
      <c r="L49" s="53">
        <f t="shared" si="36"/>
        <v>0</v>
      </c>
      <c r="M49" s="112"/>
      <c r="N49" s="53">
        <f t="shared" si="4"/>
        <v>0</v>
      </c>
      <c r="O49" s="53">
        <f t="shared" si="5"/>
        <v>0</v>
      </c>
      <c r="P49" s="1"/>
      <c r="R49" s="1"/>
      <c r="S49" s="1"/>
      <c r="T49" s="1"/>
      <c r="U49" s="1"/>
    </row>
    <row r="50" spans="2:21">
      <c r="B50" t="str">
        <f t="shared" si="0"/>
        <v/>
      </c>
      <c r="C50" s="49">
        <f>IF(D11="","-",+C49+1)</f>
        <v>2046</v>
      </c>
      <c r="D50" s="54">
        <f>IF(F49+SUM(E$17:E49)=D$10,F49,D$10-SUM(E$17:E49))</f>
        <v>104478.65184126308</v>
      </c>
      <c r="E50" s="377">
        <f t="shared" si="32"/>
        <v>104478.65184126308</v>
      </c>
      <c r="F50" s="54">
        <f t="shared" si="33"/>
        <v>0</v>
      </c>
      <c r="G50" s="378">
        <f t="shared" si="34"/>
        <v>110457.43890037954</v>
      </c>
      <c r="H50" s="359">
        <f t="shared" si="35"/>
        <v>110457.43890037954</v>
      </c>
      <c r="I50" s="51">
        <f t="shared" si="6"/>
        <v>0</v>
      </c>
      <c r="J50" s="51"/>
      <c r="K50" s="112"/>
      <c r="L50" s="53">
        <f t="shared" si="36"/>
        <v>0</v>
      </c>
      <c r="M50" s="112"/>
      <c r="N50" s="53">
        <f t="shared" si="4"/>
        <v>0</v>
      </c>
      <c r="O50" s="53">
        <f t="shared" si="5"/>
        <v>0</v>
      </c>
      <c r="P50" s="1"/>
      <c r="R50" s="1"/>
      <c r="S50" s="1"/>
      <c r="T50" s="1"/>
      <c r="U50" s="1"/>
    </row>
    <row r="51" spans="2:21">
      <c r="B51" t="str">
        <f t="shared" si="0"/>
        <v/>
      </c>
      <c r="C51" s="49">
        <f>IF(D11="","-",+C50+1)</f>
        <v>2047</v>
      </c>
      <c r="D51" s="54">
        <f>IF(F50+SUM(E$17:E50)=D$10,F50,D$10-SUM(E$17:E50))</f>
        <v>0</v>
      </c>
      <c r="E51" s="377">
        <f t="shared" si="32"/>
        <v>0</v>
      </c>
      <c r="F51" s="54">
        <f t="shared" si="33"/>
        <v>0</v>
      </c>
      <c r="G51" s="378">
        <f t="shared" si="34"/>
        <v>0</v>
      </c>
      <c r="H51" s="359">
        <f t="shared" si="35"/>
        <v>0</v>
      </c>
      <c r="I51" s="51">
        <f t="shared" si="6"/>
        <v>0</v>
      </c>
      <c r="J51" s="51"/>
      <c r="K51" s="112"/>
      <c r="L51" s="53">
        <f t="shared" si="36"/>
        <v>0</v>
      </c>
      <c r="M51" s="112"/>
      <c r="N51" s="53">
        <f t="shared" si="4"/>
        <v>0</v>
      </c>
      <c r="O51" s="53">
        <f t="shared" si="5"/>
        <v>0</v>
      </c>
      <c r="P51" s="1"/>
      <c r="R51" s="1"/>
      <c r="S51" s="1"/>
      <c r="T51" s="1"/>
      <c r="U51" s="1"/>
    </row>
    <row r="52" spans="2:21">
      <c r="B52" t="str">
        <f t="shared" si="0"/>
        <v/>
      </c>
      <c r="C52" s="49">
        <f>IF(D11="","-",+C51+1)</f>
        <v>2048</v>
      </c>
      <c r="D52" s="54">
        <f>IF(F51+SUM(E$17:E51)=D$10,F51,D$10-SUM(E$17:E51))</f>
        <v>0</v>
      </c>
      <c r="E52" s="377">
        <f t="shared" si="32"/>
        <v>0</v>
      </c>
      <c r="F52" s="54">
        <f t="shared" si="33"/>
        <v>0</v>
      </c>
      <c r="G52" s="378">
        <f t="shared" si="34"/>
        <v>0</v>
      </c>
      <c r="H52" s="359">
        <f t="shared" si="35"/>
        <v>0</v>
      </c>
      <c r="I52" s="51">
        <f t="shared" si="6"/>
        <v>0</v>
      </c>
      <c r="J52" s="51"/>
      <c r="K52" s="112"/>
      <c r="L52" s="53">
        <f t="shared" si="36"/>
        <v>0</v>
      </c>
      <c r="M52" s="112"/>
      <c r="N52" s="53">
        <f t="shared" si="4"/>
        <v>0</v>
      </c>
      <c r="O52" s="53">
        <f t="shared" si="5"/>
        <v>0</v>
      </c>
      <c r="P52" s="1"/>
      <c r="R52" s="1"/>
      <c r="S52" s="1"/>
      <c r="T52" s="1"/>
      <c r="U52" s="1"/>
    </row>
    <row r="53" spans="2:21">
      <c r="B53" t="str">
        <f t="shared" si="0"/>
        <v/>
      </c>
      <c r="C53" s="49">
        <f>IF(D11="","-",+C52+1)</f>
        <v>2049</v>
      </c>
      <c r="D53" s="54">
        <f>IF(F52+SUM(E$17:E52)=D$10,F52,D$10-SUM(E$17:E52))</f>
        <v>0</v>
      </c>
      <c r="E53" s="377">
        <f t="shared" si="32"/>
        <v>0</v>
      </c>
      <c r="F53" s="54">
        <f t="shared" si="33"/>
        <v>0</v>
      </c>
      <c r="G53" s="378">
        <f t="shared" si="34"/>
        <v>0</v>
      </c>
      <c r="H53" s="359">
        <f t="shared" si="35"/>
        <v>0</v>
      </c>
      <c r="I53" s="51">
        <f t="shared" si="6"/>
        <v>0</v>
      </c>
      <c r="J53" s="51"/>
      <c r="K53" s="112"/>
      <c r="L53" s="53">
        <f t="shared" si="36"/>
        <v>0</v>
      </c>
      <c r="M53" s="112"/>
      <c r="N53" s="53">
        <f t="shared" si="4"/>
        <v>0</v>
      </c>
      <c r="O53" s="53">
        <f t="shared" si="5"/>
        <v>0</v>
      </c>
      <c r="P53" s="1"/>
      <c r="R53" s="1"/>
      <c r="S53" s="1"/>
      <c r="T53" s="1"/>
      <c r="U53" s="1"/>
    </row>
    <row r="54" spans="2:21">
      <c r="B54" t="str">
        <f t="shared" si="0"/>
        <v/>
      </c>
      <c r="C54" s="49">
        <f>IF(D11="","-",+C53+1)</f>
        <v>2050</v>
      </c>
      <c r="D54" s="54">
        <f>IF(F53+SUM(E$17:E53)=D$10,F53,D$10-SUM(E$17:E53))</f>
        <v>0</v>
      </c>
      <c r="E54" s="377">
        <f t="shared" si="32"/>
        <v>0</v>
      </c>
      <c r="F54" s="54">
        <f t="shared" si="33"/>
        <v>0</v>
      </c>
      <c r="G54" s="378">
        <f t="shared" si="34"/>
        <v>0</v>
      </c>
      <c r="H54" s="359">
        <f t="shared" si="35"/>
        <v>0</v>
      </c>
      <c r="I54" s="51">
        <f t="shared" si="6"/>
        <v>0</v>
      </c>
      <c r="J54" s="51"/>
      <c r="K54" s="112"/>
      <c r="L54" s="53">
        <f t="shared" si="36"/>
        <v>0</v>
      </c>
      <c r="M54" s="112"/>
      <c r="N54" s="53">
        <f t="shared" si="4"/>
        <v>0</v>
      </c>
      <c r="O54" s="53">
        <f t="shared" si="5"/>
        <v>0</v>
      </c>
      <c r="P54" s="1"/>
      <c r="R54" s="1"/>
      <c r="S54" s="1"/>
      <c r="T54" s="1"/>
      <c r="U54" s="1"/>
    </row>
    <row r="55" spans="2:21">
      <c r="B55" t="str">
        <f t="shared" si="0"/>
        <v/>
      </c>
      <c r="C55" s="49">
        <f>IF(D11="","-",+C54+1)</f>
        <v>2051</v>
      </c>
      <c r="D55" s="54">
        <f>IF(F54+SUM(E$17:E54)=D$10,F54,D$10-SUM(E$17:E54))</f>
        <v>0</v>
      </c>
      <c r="E55" s="377">
        <f t="shared" si="32"/>
        <v>0</v>
      </c>
      <c r="F55" s="54">
        <f t="shared" si="33"/>
        <v>0</v>
      </c>
      <c r="G55" s="378">
        <f t="shared" si="34"/>
        <v>0</v>
      </c>
      <c r="H55" s="359">
        <f t="shared" si="35"/>
        <v>0</v>
      </c>
      <c r="I55" s="51">
        <f t="shared" si="6"/>
        <v>0</v>
      </c>
      <c r="J55" s="51"/>
      <c r="K55" s="112"/>
      <c r="L55" s="53">
        <f t="shared" si="36"/>
        <v>0</v>
      </c>
      <c r="M55" s="112"/>
      <c r="N55" s="53">
        <f t="shared" si="4"/>
        <v>0</v>
      </c>
      <c r="O55" s="53">
        <f t="shared" si="5"/>
        <v>0</v>
      </c>
      <c r="P55" s="1"/>
      <c r="R55" s="1"/>
      <c r="S55" s="1"/>
      <c r="T55" s="1"/>
      <c r="U55" s="1"/>
    </row>
    <row r="56" spans="2:21">
      <c r="B56" t="str">
        <f t="shared" si="0"/>
        <v/>
      </c>
      <c r="C56" s="49">
        <f>IF(D11="","-",+C55+1)</f>
        <v>2052</v>
      </c>
      <c r="D56" s="54">
        <f>IF(F55+SUM(E$17:E55)=D$10,F55,D$10-SUM(E$17:E55))</f>
        <v>0</v>
      </c>
      <c r="E56" s="377">
        <f t="shared" si="32"/>
        <v>0</v>
      </c>
      <c r="F56" s="54">
        <f t="shared" si="33"/>
        <v>0</v>
      </c>
      <c r="G56" s="378">
        <f t="shared" si="34"/>
        <v>0</v>
      </c>
      <c r="H56" s="359">
        <f t="shared" si="35"/>
        <v>0</v>
      </c>
      <c r="I56" s="51">
        <f t="shared" si="6"/>
        <v>0</v>
      </c>
      <c r="J56" s="51"/>
      <c r="K56" s="112"/>
      <c r="L56" s="53">
        <f t="shared" si="36"/>
        <v>0</v>
      </c>
      <c r="M56" s="112"/>
      <c r="N56" s="53">
        <f t="shared" si="4"/>
        <v>0</v>
      </c>
      <c r="O56" s="53">
        <f t="shared" si="5"/>
        <v>0</v>
      </c>
      <c r="P56" s="1"/>
      <c r="R56" s="1"/>
      <c r="S56" s="1"/>
      <c r="T56" s="1"/>
      <c r="U56" s="1"/>
    </row>
    <row r="57" spans="2:21">
      <c r="B57" t="str">
        <f t="shared" si="0"/>
        <v/>
      </c>
      <c r="C57" s="49">
        <f>IF(D11="","-",+C56+1)</f>
        <v>2053</v>
      </c>
      <c r="D57" s="54">
        <f>IF(F56+SUM(E$17:E56)=D$10,F56,D$10-SUM(E$17:E56))</f>
        <v>0</v>
      </c>
      <c r="E57" s="377">
        <f t="shared" si="32"/>
        <v>0</v>
      </c>
      <c r="F57" s="54">
        <f t="shared" si="33"/>
        <v>0</v>
      </c>
      <c r="G57" s="378">
        <f t="shared" si="34"/>
        <v>0</v>
      </c>
      <c r="H57" s="359">
        <f t="shared" si="35"/>
        <v>0</v>
      </c>
      <c r="I57" s="51">
        <f t="shared" si="6"/>
        <v>0</v>
      </c>
      <c r="J57" s="51"/>
      <c r="K57" s="112"/>
      <c r="L57" s="53">
        <f t="shared" si="36"/>
        <v>0</v>
      </c>
      <c r="M57" s="112"/>
      <c r="N57" s="53">
        <f t="shared" si="4"/>
        <v>0</v>
      </c>
      <c r="O57" s="53">
        <f t="shared" si="5"/>
        <v>0</v>
      </c>
      <c r="P57" s="1"/>
      <c r="R57" s="1"/>
      <c r="S57" s="1"/>
      <c r="T57" s="1"/>
      <c r="U57" s="1"/>
    </row>
    <row r="58" spans="2:21">
      <c r="B58" t="str">
        <f t="shared" si="0"/>
        <v/>
      </c>
      <c r="C58" s="49">
        <f>IF(D11="","-",+C57+1)</f>
        <v>2054</v>
      </c>
      <c r="D58" s="54">
        <f>IF(F57+SUM(E$17:E57)=D$10,F57,D$10-SUM(E$17:E57))</f>
        <v>0</v>
      </c>
      <c r="E58" s="377">
        <f t="shared" si="32"/>
        <v>0</v>
      </c>
      <c r="F58" s="54">
        <f t="shared" si="33"/>
        <v>0</v>
      </c>
      <c r="G58" s="378">
        <f t="shared" si="34"/>
        <v>0</v>
      </c>
      <c r="H58" s="359">
        <f t="shared" si="35"/>
        <v>0</v>
      </c>
      <c r="I58" s="51">
        <f t="shared" si="6"/>
        <v>0</v>
      </c>
      <c r="J58" s="51"/>
      <c r="K58" s="112"/>
      <c r="L58" s="53">
        <f t="shared" si="36"/>
        <v>0</v>
      </c>
      <c r="M58" s="112"/>
      <c r="N58" s="53">
        <f t="shared" si="4"/>
        <v>0</v>
      </c>
      <c r="O58" s="53">
        <f t="shared" si="5"/>
        <v>0</v>
      </c>
      <c r="P58" s="1"/>
      <c r="R58" s="1"/>
      <c r="S58" s="1"/>
      <c r="T58" s="1"/>
      <c r="U58" s="1"/>
    </row>
    <row r="59" spans="2:21">
      <c r="B59" t="str">
        <f t="shared" si="0"/>
        <v/>
      </c>
      <c r="C59" s="49">
        <f>IF(D11="","-",+C58+1)</f>
        <v>2055</v>
      </c>
      <c r="D59" s="54">
        <f>IF(F58+SUM(E$17:E58)=D$10,F58,D$10-SUM(E$17:E58))</f>
        <v>0</v>
      </c>
      <c r="E59" s="377">
        <f t="shared" si="32"/>
        <v>0</v>
      </c>
      <c r="F59" s="54">
        <f t="shared" si="33"/>
        <v>0</v>
      </c>
      <c r="G59" s="378">
        <f t="shared" si="34"/>
        <v>0</v>
      </c>
      <c r="H59" s="359">
        <f t="shared" si="35"/>
        <v>0</v>
      </c>
      <c r="I59" s="51">
        <f t="shared" si="6"/>
        <v>0</v>
      </c>
      <c r="J59" s="51"/>
      <c r="K59" s="112"/>
      <c r="L59" s="53">
        <f t="shared" si="36"/>
        <v>0</v>
      </c>
      <c r="M59" s="112"/>
      <c r="N59" s="53">
        <f t="shared" si="4"/>
        <v>0</v>
      </c>
      <c r="O59" s="53">
        <f t="shared" si="5"/>
        <v>0</v>
      </c>
      <c r="P59" s="1"/>
      <c r="R59" s="1"/>
      <c r="S59" s="1"/>
      <c r="T59" s="1"/>
      <c r="U59" s="1"/>
    </row>
    <row r="60" spans="2:21">
      <c r="B60" t="str">
        <f t="shared" si="0"/>
        <v/>
      </c>
      <c r="C60" s="49">
        <f>IF(D11="","-",+C59+1)</f>
        <v>2056</v>
      </c>
      <c r="D60" s="54">
        <f>IF(F59+SUM(E$17:E59)=D$10,F59,D$10-SUM(E$17:E59))</f>
        <v>0</v>
      </c>
      <c r="E60" s="377">
        <f t="shared" si="32"/>
        <v>0</v>
      </c>
      <c r="F60" s="54">
        <f t="shared" si="33"/>
        <v>0</v>
      </c>
      <c r="G60" s="378">
        <f t="shared" si="34"/>
        <v>0</v>
      </c>
      <c r="H60" s="359">
        <f t="shared" si="35"/>
        <v>0</v>
      </c>
      <c r="I60" s="51">
        <f t="shared" si="6"/>
        <v>0</v>
      </c>
      <c r="J60" s="51"/>
      <c r="K60" s="112"/>
      <c r="L60" s="53">
        <f t="shared" si="36"/>
        <v>0</v>
      </c>
      <c r="M60" s="112"/>
      <c r="N60" s="53">
        <f t="shared" si="4"/>
        <v>0</v>
      </c>
      <c r="O60" s="53">
        <f t="shared" si="5"/>
        <v>0</v>
      </c>
      <c r="P60" s="1"/>
      <c r="R60" s="1"/>
      <c r="S60" s="1"/>
      <c r="T60" s="1"/>
      <c r="U60" s="1"/>
    </row>
    <row r="61" spans="2:21">
      <c r="B61" t="str">
        <f t="shared" si="0"/>
        <v/>
      </c>
      <c r="C61" s="49">
        <f>IF(D11="","-",+C60+1)</f>
        <v>2057</v>
      </c>
      <c r="D61" s="54">
        <f>IF(F60+SUM(E$17:E60)=D$10,F60,D$10-SUM(E$17:E60))</f>
        <v>0</v>
      </c>
      <c r="E61" s="377">
        <f t="shared" si="32"/>
        <v>0</v>
      </c>
      <c r="F61" s="54">
        <f t="shared" si="33"/>
        <v>0</v>
      </c>
      <c r="G61" s="378">
        <f t="shared" si="34"/>
        <v>0</v>
      </c>
      <c r="H61" s="359">
        <f t="shared" si="35"/>
        <v>0</v>
      </c>
      <c r="I61" s="51">
        <f t="shared" si="6"/>
        <v>0</v>
      </c>
      <c r="J61" s="51"/>
      <c r="K61" s="112"/>
      <c r="L61" s="53">
        <f t="shared" si="36"/>
        <v>0</v>
      </c>
      <c r="M61" s="112"/>
      <c r="N61" s="53">
        <f t="shared" si="4"/>
        <v>0</v>
      </c>
      <c r="O61" s="53">
        <f t="shared" si="5"/>
        <v>0</v>
      </c>
      <c r="P61" s="1"/>
      <c r="R61" s="1"/>
      <c r="S61" s="1"/>
      <c r="T61" s="1"/>
      <c r="U61" s="1"/>
    </row>
    <row r="62" spans="2:21">
      <c r="B62" t="str">
        <f t="shared" si="0"/>
        <v/>
      </c>
      <c r="C62" s="49">
        <f>IF(D11="","-",+C61+1)</f>
        <v>2058</v>
      </c>
      <c r="D62" s="54">
        <f>IF(F61+SUM(E$17:E61)=D$10,F61,D$10-SUM(E$17:E61))</f>
        <v>0</v>
      </c>
      <c r="E62" s="377">
        <f t="shared" si="32"/>
        <v>0</v>
      </c>
      <c r="F62" s="54">
        <f t="shared" si="33"/>
        <v>0</v>
      </c>
      <c r="G62" s="378">
        <f t="shared" si="34"/>
        <v>0</v>
      </c>
      <c r="H62" s="359">
        <f t="shared" si="35"/>
        <v>0</v>
      </c>
      <c r="I62" s="51">
        <f t="shared" si="6"/>
        <v>0</v>
      </c>
      <c r="J62" s="51"/>
      <c r="K62" s="112"/>
      <c r="L62" s="53">
        <f t="shared" si="36"/>
        <v>0</v>
      </c>
      <c r="M62" s="112"/>
      <c r="N62" s="53">
        <f t="shared" si="4"/>
        <v>0</v>
      </c>
      <c r="O62" s="53">
        <f t="shared" si="5"/>
        <v>0</v>
      </c>
      <c r="P62" s="1"/>
      <c r="R62" s="1"/>
      <c r="S62" s="1"/>
      <c r="T62" s="1"/>
      <c r="U62" s="1"/>
    </row>
    <row r="63" spans="2:21">
      <c r="B63" t="str">
        <f t="shared" si="0"/>
        <v/>
      </c>
      <c r="C63" s="49">
        <f>IF(D11="","-",+C62+1)</f>
        <v>2059</v>
      </c>
      <c r="D63" s="54">
        <f>IF(F62+SUM(E$17:E62)=D$10,F62,D$10-SUM(E$17:E62))</f>
        <v>0</v>
      </c>
      <c r="E63" s="377">
        <f t="shared" si="32"/>
        <v>0</v>
      </c>
      <c r="F63" s="54">
        <f t="shared" si="33"/>
        <v>0</v>
      </c>
      <c r="G63" s="378">
        <f t="shared" si="34"/>
        <v>0</v>
      </c>
      <c r="H63" s="359">
        <f t="shared" si="35"/>
        <v>0</v>
      </c>
      <c r="I63" s="51">
        <f t="shared" si="6"/>
        <v>0</v>
      </c>
      <c r="J63" s="51"/>
      <c r="K63" s="112"/>
      <c r="L63" s="53">
        <f t="shared" si="36"/>
        <v>0</v>
      </c>
      <c r="M63" s="112"/>
      <c r="N63" s="53">
        <f t="shared" si="4"/>
        <v>0</v>
      </c>
      <c r="O63" s="53">
        <f t="shared" si="5"/>
        <v>0</v>
      </c>
      <c r="P63" s="1"/>
      <c r="R63" s="1"/>
      <c r="S63" s="1"/>
      <c r="T63" s="1"/>
      <c r="U63" s="1"/>
    </row>
    <row r="64" spans="2:21">
      <c r="B64" t="str">
        <f>IF(D64=F63,"","IU")</f>
        <v/>
      </c>
      <c r="C64" s="49">
        <f>IF(D11="","-",+C63+1)</f>
        <v>2060</v>
      </c>
      <c r="D64" s="54">
        <f>IF(F63+SUM(E$17:E63)=D$10,F63,D$10-SUM(E$17:E63))</f>
        <v>0</v>
      </c>
      <c r="E64" s="377">
        <f t="shared" si="32"/>
        <v>0</v>
      </c>
      <c r="F64" s="54">
        <f t="shared" si="33"/>
        <v>0</v>
      </c>
      <c r="G64" s="378">
        <f t="shared" si="34"/>
        <v>0</v>
      </c>
      <c r="H64" s="359">
        <f t="shared" si="35"/>
        <v>0</v>
      </c>
      <c r="I64" s="51">
        <f t="shared" si="6"/>
        <v>0</v>
      </c>
      <c r="J64" s="51"/>
      <c r="K64" s="112"/>
      <c r="L64" s="53">
        <f t="shared" si="36"/>
        <v>0</v>
      </c>
      <c r="M64" s="112"/>
      <c r="N64" s="53">
        <f t="shared" si="4"/>
        <v>0</v>
      </c>
      <c r="O64" s="53">
        <f t="shared" si="5"/>
        <v>0</v>
      </c>
      <c r="P64" s="1"/>
      <c r="R64" s="1"/>
      <c r="S64" s="1"/>
      <c r="T64" s="1"/>
      <c r="U64" s="1"/>
    </row>
    <row r="65" spans="2:21">
      <c r="B65" t="str">
        <f t="shared" si="0"/>
        <v/>
      </c>
      <c r="C65" s="49">
        <f>IF(D11="","-",+C64+1)</f>
        <v>2061</v>
      </c>
      <c r="D65" s="54">
        <f>IF(F64+SUM(E$17:E64)=D$10,F64,D$10-SUM(E$17:E64))</f>
        <v>0</v>
      </c>
      <c r="E65" s="377">
        <f t="shared" si="32"/>
        <v>0</v>
      </c>
      <c r="F65" s="54">
        <f t="shared" si="33"/>
        <v>0</v>
      </c>
      <c r="G65" s="378">
        <f t="shared" si="34"/>
        <v>0</v>
      </c>
      <c r="H65" s="359">
        <f t="shared" si="35"/>
        <v>0</v>
      </c>
      <c r="I65" s="51">
        <f t="shared" si="6"/>
        <v>0</v>
      </c>
      <c r="J65" s="51"/>
      <c r="K65" s="112"/>
      <c r="L65" s="53">
        <f t="shared" si="36"/>
        <v>0</v>
      </c>
      <c r="M65" s="112"/>
      <c r="N65" s="53">
        <f t="shared" si="4"/>
        <v>0</v>
      </c>
      <c r="O65" s="53">
        <f t="shared" si="5"/>
        <v>0</v>
      </c>
      <c r="P65" s="1"/>
      <c r="R65" s="1"/>
      <c r="S65" s="1"/>
      <c r="T65" s="1"/>
      <c r="U65" s="1"/>
    </row>
    <row r="66" spans="2:21">
      <c r="B66" t="str">
        <f t="shared" si="0"/>
        <v/>
      </c>
      <c r="C66" s="49">
        <f>IF(D11="","-",+C65+1)</f>
        <v>2062</v>
      </c>
      <c r="D66" s="54">
        <f>IF(F65+SUM(E$17:E65)=D$10,F65,D$10-SUM(E$17:E65))</f>
        <v>0</v>
      </c>
      <c r="E66" s="377">
        <f t="shared" si="32"/>
        <v>0</v>
      </c>
      <c r="F66" s="54">
        <f t="shared" si="33"/>
        <v>0</v>
      </c>
      <c r="G66" s="378">
        <f t="shared" si="34"/>
        <v>0</v>
      </c>
      <c r="H66" s="359">
        <f t="shared" si="35"/>
        <v>0</v>
      </c>
      <c r="I66" s="51">
        <f t="shared" si="6"/>
        <v>0</v>
      </c>
      <c r="J66" s="51"/>
      <c r="K66" s="112"/>
      <c r="L66" s="53">
        <f t="shared" si="36"/>
        <v>0</v>
      </c>
      <c r="M66" s="112"/>
      <c r="N66" s="53">
        <f t="shared" si="4"/>
        <v>0</v>
      </c>
      <c r="O66" s="53">
        <f t="shared" si="5"/>
        <v>0</v>
      </c>
      <c r="P66" s="1"/>
      <c r="R66" s="1"/>
      <c r="S66" s="1"/>
      <c r="T66" s="1"/>
      <c r="U66" s="1"/>
    </row>
    <row r="67" spans="2:21">
      <c r="B67" t="str">
        <f t="shared" si="0"/>
        <v/>
      </c>
      <c r="C67" s="49">
        <f>IF(D11="","-",+C66+1)</f>
        <v>2063</v>
      </c>
      <c r="D67" s="54">
        <f>IF(F66+SUM(E$17:E66)=D$10,F66,D$10-SUM(E$17:E66))</f>
        <v>0</v>
      </c>
      <c r="E67" s="377">
        <f t="shared" si="32"/>
        <v>0</v>
      </c>
      <c r="F67" s="54">
        <f t="shared" si="33"/>
        <v>0</v>
      </c>
      <c r="G67" s="378">
        <f t="shared" si="34"/>
        <v>0</v>
      </c>
      <c r="H67" s="359">
        <f t="shared" si="35"/>
        <v>0</v>
      </c>
      <c r="I67" s="51">
        <f t="shared" si="6"/>
        <v>0</v>
      </c>
      <c r="J67" s="51"/>
      <c r="K67" s="112"/>
      <c r="L67" s="53">
        <f t="shared" si="36"/>
        <v>0</v>
      </c>
      <c r="M67" s="112"/>
      <c r="N67" s="53">
        <f t="shared" si="4"/>
        <v>0</v>
      </c>
      <c r="O67" s="53">
        <f t="shared" si="5"/>
        <v>0</v>
      </c>
      <c r="P67" s="1"/>
      <c r="R67" s="1"/>
      <c r="S67" s="1"/>
      <c r="T67" s="1"/>
      <c r="U67" s="1"/>
    </row>
    <row r="68" spans="2:21">
      <c r="B68" t="str">
        <f t="shared" si="0"/>
        <v/>
      </c>
      <c r="C68" s="49">
        <f>IF(D11="","-",+C67+1)</f>
        <v>2064</v>
      </c>
      <c r="D68" s="54">
        <f>IF(F67+SUM(E$17:E67)=D$10,F67,D$10-SUM(E$17:E67))</f>
        <v>0</v>
      </c>
      <c r="E68" s="377">
        <f t="shared" si="32"/>
        <v>0</v>
      </c>
      <c r="F68" s="54">
        <f t="shared" si="33"/>
        <v>0</v>
      </c>
      <c r="G68" s="378">
        <f t="shared" si="34"/>
        <v>0</v>
      </c>
      <c r="H68" s="359">
        <f t="shared" si="35"/>
        <v>0</v>
      </c>
      <c r="I68" s="51">
        <f t="shared" si="6"/>
        <v>0</v>
      </c>
      <c r="J68" s="51"/>
      <c r="K68" s="112"/>
      <c r="L68" s="53">
        <f t="shared" si="36"/>
        <v>0</v>
      </c>
      <c r="M68" s="112"/>
      <c r="N68" s="53">
        <f t="shared" si="4"/>
        <v>0</v>
      </c>
      <c r="O68" s="53">
        <f t="shared" si="5"/>
        <v>0</v>
      </c>
      <c r="P68" s="1"/>
      <c r="R68" s="1"/>
      <c r="S68" s="1"/>
      <c r="T68" s="1"/>
      <c r="U68" s="1"/>
    </row>
    <row r="69" spans="2:21">
      <c r="B69" t="str">
        <f t="shared" si="0"/>
        <v/>
      </c>
      <c r="C69" s="49">
        <f>IF(D11="","-",+C68+1)</f>
        <v>2065</v>
      </c>
      <c r="D69" s="54">
        <f>IF(F68+SUM(E$17:E68)=D$10,F68,D$10-SUM(E$17:E68))</f>
        <v>0</v>
      </c>
      <c r="E69" s="377">
        <f t="shared" si="32"/>
        <v>0</v>
      </c>
      <c r="F69" s="54">
        <f t="shared" si="33"/>
        <v>0</v>
      </c>
      <c r="G69" s="378">
        <f t="shared" si="34"/>
        <v>0</v>
      </c>
      <c r="H69" s="359">
        <f t="shared" si="35"/>
        <v>0</v>
      </c>
      <c r="I69" s="51">
        <f t="shared" si="6"/>
        <v>0</v>
      </c>
      <c r="J69" s="51"/>
      <c r="K69" s="112"/>
      <c r="L69" s="53">
        <f t="shared" si="36"/>
        <v>0</v>
      </c>
      <c r="M69" s="112"/>
      <c r="N69" s="53">
        <f t="shared" si="4"/>
        <v>0</v>
      </c>
      <c r="O69" s="53">
        <f t="shared" si="5"/>
        <v>0</v>
      </c>
      <c r="P69" s="1"/>
      <c r="R69" s="1"/>
      <c r="S69" s="1"/>
      <c r="T69" s="1"/>
      <c r="U69" s="1"/>
    </row>
    <row r="70" spans="2:21">
      <c r="B70" t="str">
        <f t="shared" si="0"/>
        <v/>
      </c>
      <c r="C70" s="49">
        <f>IF(D11="","-",+C69+1)</f>
        <v>2066</v>
      </c>
      <c r="D70" s="54">
        <f>IF(F69+SUM(E$17:E69)=D$10,F69,D$10-SUM(E$17:E69))</f>
        <v>0</v>
      </c>
      <c r="E70" s="377">
        <f t="shared" si="32"/>
        <v>0</v>
      </c>
      <c r="F70" s="54">
        <f t="shared" si="33"/>
        <v>0</v>
      </c>
      <c r="G70" s="378">
        <f t="shared" si="34"/>
        <v>0</v>
      </c>
      <c r="H70" s="359">
        <f t="shared" si="35"/>
        <v>0</v>
      </c>
      <c r="I70" s="51">
        <f t="shared" si="6"/>
        <v>0</v>
      </c>
      <c r="J70" s="51"/>
      <c r="K70" s="112"/>
      <c r="L70" s="53">
        <f t="shared" si="36"/>
        <v>0</v>
      </c>
      <c r="M70" s="112"/>
      <c r="N70" s="53">
        <f t="shared" si="4"/>
        <v>0</v>
      </c>
      <c r="O70" s="53">
        <f t="shared" si="5"/>
        <v>0</v>
      </c>
      <c r="P70" s="1"/>
      <c r="R70" s="1"/>
      <c r="S70" s="1"/>
      <c r="T70" s="1"/>
      <c r="U70" s="1"/>
    </row>
    <row r="71" spans="2:21">
      <c r="B71" t="str">
        <f t="shared" si="0"/>
        <v/>
      </c>
      <c r="C71" s="49">
        <f>IF(D11="","-",+C70+1)</f>
        <v>2067</v>
      </c>
      <c r="D71" s="54">
        <f>IF(F70+SUM(E$17:E70)=D$10,F70,D$10-SUM(E$17:E70))</f>
        <v>0</v>
      </c>
      <c r="E71" s="377">
        <f t="shared" si="32"/>
        <v>0</v>
      </c>
      <c r="F71" s="54">
        <f t="shared" si="33"/>
        <v>0</v>
      </c>
      <c r="G71" s="378">
        <f t="shared" si="34"/>
        <v>0</v>
      </c>
      <c r="H71" s="359">
        <f t="shared" si="35"/>
        <v>0</v>
      </c>
      <c r="I71" s="51">
        <f t="shared" si="6"/>
        <v>0</v>
      </c>
      <c r="J71" s="51"/>
      <c r="K71" s="112"/>
      <c r="L71" s="53">
        <f t="shared" si="36"/>
        <v>0</v>
      </c>
      <c r="M71" s="112"/>
      <c r="N71" s="53">
        <f t="shared" si="4"/>
        <v>0</v>
      </c>
      <c r="O71" s="53">
        <f t="shared" si="5"/>
        <v>0</v>
      </c>
      <c r="P71" s="1"/>
      <c r="R71" s="1"/>
      <c r="S71" s="1"/>
      <c r="T71" s="1"/>
      <c r="U71" s="1"/>
    </row>
    <row r="72" spans="2:21">
      <c r="B72" t="str">
        <f t="shared" si="0"/>
        <v/>
      </c>
      <c r="C72" s="49">
        <f>IF(D11="","-",+C71+1)</f>
        <v>2068</v>
      </c>
      <c r="D72" s="54">
        <f>IF(F71+SUM(E$17:E71)=D$10,F71,D$10-SUM(E$17:E71))</f>
        <v>0</v>
      </c>
      <c r="E72" s="377">
        <f t="shared" si="32"/>
        <v>0</v>
      </c>
      <c r="F72" s="54">
        <f t="shared" si="33"/>
        <v>0</v>
      </c>
      <c r="G72" s="378">
        <f t="shared" si="34"/>
        <v>0</v>
      </c>
      <c r="H72" s="359">
        <f t="shared" si="35"/>
        <v>0</v>
      </c>
      <c r="I72" s="51">
        <f t="shared" si="6"/>
        <v>0</v>
      </c>
      <c r="J72" s="51"/>
      <c r="K72" s="112"/>
      <c r="L72" s="53">
        <f t="shared" si="36"/>
        <v>0</v>
      </c>
      <c r="M72" s="112"/>
      <c r="N72" s="53">
        <f t="shared" si="4"/>
        <v>0</v>
      </c>
      <c r="O72" s="53">
        <f t="shared" si="5"/>
        <v>0</v>
      </c>
      <c r="P72" s="1"/>
      <c r="R72" s="1"/>
      <c r="S72" s="1"/>
      <c r="T72" s="1"/>
      <c r="U72" s="1"/>
    </row>
    <row r="73" spans="2:21" ht="13.5" thickBot="1">
      <c r="B73" t="str">
        <f t="shared" si="0"/>
        <v/>
      </c>
      <c r="C73" s="58">
        <f>IF(D11="","-",+C72+1)</f>
        <v>2069</v>
      </c>
      <c r="D73" s="59">
        <f>IF(F72+SUM(E$17:E72)=D$10,F72,D$10-SUM(E$17:E72))</f>
        <v>0</v>
      </c>
      <c r="E73" s="389">
        <f t="shared" si="32"/>
        <v>0</v>
      </c>
      <c r="F73" s="59">
        <f t="shared" si="33"/>
        <v>0</v>
      </c>
      <c r="G73" s="59">
        <f t="shared" si="34"/>
        <v>0</v>
      </c>
      <c r="H73" s="59">
        <f t="shared" si="35"/>
        <v>0</v>
      </c>
      <c r="I73" s="62">
        <f t="shared" si="6"/>
        <v>0</v>
      </c>
      <c r="J73" s="51"/>
      <c r="K73" s="113"/>
      <c r="L73" s="63">
        <f t="shared" si="36"/>
        <v>0</v>
      </c>
      <c r="M73" s="113"/>
      <c r="N73" s="63">
        <f t="shared" si="4"/>
        <v>0</v>
      </c>
      <c r="O73" s="63">
        <f t="shared" si="5"/>
        <v>0</v>
      </c>
      <c r="P73" s="1"/>
      <c r="R73" s="1"/>
      <c r="S73" s="1"/>
      <c r="T73" s="1"/>
      <c r="U73" s="1"/>
    </row>
    <row r="74" spans="2:21">
      <c r="C74" s="11" t="s">
        <v>75</v>
      </c>
      <c r="D74" s="242"/>
      <c r="E74" s="242">
        <f>SUM(E17:E73)</f>
        <v>7210308.9500000011</v>
      </c>
      <c r="F74" s="242"/>
      <c r="G74" s="242">
        <f>SUM(G17:G73)</f>
        <v>21075922.274406221</v>
      </c>
      <c r="H74" s="242">
        <f>SUM(H17:H73)</f>
        <v>21075922.274406221</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10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816201.08529569418</v>
      </c>
      <c r="N88" s="396">
        <f>IF(J93&lt;D11,0,VLOOKUP(J93,C17:O73,11))</f>
        <v>816201.08529569418</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735072.2204055764</v>
      </c>
      <c r="N89" s="399">
        <f>IF(J93&lt;D11,0,VLOOKUP(J93,C100:P155,7))</f>
        <v>735072.2204055764</v>
      </c>
      <c r="O89" s="70">
        <f>+N89-M89</f>
        <v>0</v>
      </c>
      <c r="P89" s="1"/>
      <c r="Q89" s="1"/>
      <c r="R89" s="1"/>
      <c r="S89" s="1"/>
      <c r="T89" s="1"/>
      <c r="U89" s="1"/>
    </row>
    <row r="90" spans="1:21" ht="13.5" thickBot="1">
      <c r="C90" s="25" t="s">
        <v>82</v>
      </c>
      <c r="D90" s="96" t="str">
        <f>+D7</f>
        <v>Wapanucka Customer Connection</v>
      </c>
      <c r="E90" s="1"/>
      <c r="F90" s="1"/>
      <c r="G90" s="1"/>
      <c r="H90" s="1"/>
      <c r="I90" s="260"/>
      <c r="J90" s="260"/>
      <c r="K90" s="400"/>
      <c r="L90" s="109" t="s">
        <v>135</v>
      </c>
      <c r="M90" s="401">
        <f>+M89-M88</f>
        <v>-81128.86489011778</v>
      </c>
      <c r="N90" s="401">
        <f>+N89-N88</f>
        <v>-81128.86489011778</v>
      </c>
      <c r="O90" s="402">
        <f>+O89-O88</f>
        <v>0</v>
      </c>
      <c r="P90" s="1"/>
      <c r="Q90" s="1"/>
      <c r="R90" s="1"/>
      <c r="S90" s="1"/>
      <c r="T90" s="1"/>
      <c r="U90" s="1"/>
    </row>
    <row r="91" spans="1:21" ht="13.5" thickBot="1">
      <c r="C91" s="29"/>
      <c r="D91" s="444" t="str">
        <f>IF(D8="","",D8)</f>
        <v>***Sch. 11 recovery commenced in 2015 rate year***</v>
      </c>
      <c r="E91" s="11"/>
      <c r="F91" s="11"/>
      <c r="G91" s="11"/>
      <c r="H91" s="10"/>
      <c r="I91" s="260"/>
      <c r="J91" s="260"/>
      <c r="K91" s="242"/>
      <c r="L91" s="260"/>
      <c r="M91" s="260"/>
      <c r="N91" s="260"/>
      <c r="O91" s="242"/>
      <c r="P91" s="1"/>
      <c r="Q91" s="1"/>
      <c r="R91" s="1"/>
      <c r="S91" s="1"/>
      <c r="T91" s="1"/>
      <c r="U91" s="1"/>
    </row>
    <row r="92" spans="1:21" ht="13.5" thickBot="1">
      <c r="C92" s="74" t="s">
        <v>83</v>
      </c>
      <c r="D92" s="88" t="str">
        <f>+D9</f>
        <v>TP2012141</v>
      </c>
      <c r="E92" s="75" t="s">
        <v>310</v>
      </c>
      <c r="F92" s="75">
        <f>F9</f>
        <v>30750</v>
      </c>
      <c r="G92" s="75"/>
      <c r="H92" s="75"/>
      <c r="I92" s="75"/>
      <c r="J92" s="75"/>
      <c r="Q92" s="1"/>
      <c r="R92" s="1"/>
      <c r="S92" s="1"/>
      <c r="T92" s="1"/>
      <c r="U92" s="1"/>
    </row>
    <row r="93" spans="1:21">
      <c r="C93" s="34" t="s">
        <v>49</v>
      </c>
      <c r="D93" s="442">
        <v>7210308.9500000002</v>
      </c>
      <c r="E93" s="1" t="s">
        <v>84</v>
      </c>
      <c r="H93" s="2"/>
      <c r="I93" s="2"/>
      <c r="J93" s="36">
        <f>+'OKT.WS.G.BPU.ATRR.True-up'!M16</f>
        <v>2025</v>
      </c>
      <c r="K93" s="33"/>
      <c r="L93" s="242" t="s">
        <v>85</v>
      </c>
      <c r="P93" s="1"/>
      <c r="Q93" s="1"/>
      <c r="R93" s="1"/>
      <c r="S93" s="1"/>
      <c r="T93" s="1"/>
      <c r="U93" s="1"/>
    </row>
    <row r="94" spans="1:21">
      <c r="C94" s="34" t="s">
        <v>52</v>
      </c>
      <c r="D94" s="85">
        <f>D11</f>
        <v>2013</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85">
        <f>D12</f>
        <v>12</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225322.15468750001</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c r="Q98" s="1"/>
      <c r="R98" s="1"/>
      <c r="S98" s="1"/>
      <c r="T98" s="1"/>
      <c r="U98" s="1"/>
    </row>
    <row r="99" spans="1:21" ht="13.5" thickBot="1">
      <c r="C99" s="46" t="s">
        <v>68</v>
      </c>
      <c r="D99" s="80" t="s">
        <v>69</v>
      </c>
      <c r="E99" s="46" t="s">
        <v>70</v>
      </c>
      <c r="F99" s="46" t="s">
        <v>69</v>
      </c>
      <c r="G99" s="46" t="s">
        <v>69</v>
      </c>
      <c r="H99" s="369" t="s">
        <v>71</v>
      </c>
      <c r="I99" s="367" t="s">
        <v>72</v>
      </c>
      <c r="J99" s="46" t="s">
        <v>93</v>
      </c>
      <c r="K99" s="44"/>
      <c r="L99" s="368" t="s">
        <v>74</v>
      </c>
      <c r="M99" s="368" t="s">
        <v>74</v>
      </c>
      <c r="N99" s="368" t="s">
        <v>94</v>
      </c>
      <c r="O99" s="368" t="s">
        <v>94</v>
      </c>
      <c r="P99" s="368" t="s">
        <v>94</v>
      </c>
      <c r="Q99" s="1"/>
      <c r="R99" s="1"/>
      <c r="S99" s="1"/>
      <c r="T99" s="1"/>
      <c r="U99" s="1"/>
    </row>
    <row r="100" spans="1:21">
      <c r="C100" s="49">
        <f>IF(D94= "","-",D94)</f>
        <v>2013</v>
      </c>
      <c r="D100" s="11"/>
      <c r="E100" s="378"/>
      <c r="F100" s="54"/>
      <c r="G100" s="81"/>
      <c r="H100" s="81"/>
      <c r="I100" s="81"/>
      <c r="J100" s="53"/>
      <c r="K100" s="53"/>
      <c r="L100" s="114"/>
      <c r="M100" s="52">
        <f t="shared" ref="M100:M131" si="37">IF(L100&lt;&gt;0,+H100-L100,0)</f>
        <v>0</v>
      </c>
      <c r="N100" s="114"/>
      <c r="O100" s="52">
        <f t="shared" ref="O100:O131" si="38">IF(N100&lt;&gt;0,+I100-N100,0)</f>
        <v>0</v>
      </c>
      <c r="P100" s="52">
        <f t="shared" ref="P100:P131" si="39">+O100-M100</f>
        <v>0</v>
      </c>
      <c r="Q100" s="1"/>
      <c r="R100" s="1"/>
      <c r="S100" s="1"/>
      <c r="T100" s="1"/>
      <c r="U100" s="1"/>
    </row>
    <row r="101" spans="1:21">
      <c r="C101" s="49">
        <f>IF(D94="","-",+C100+1)</f>
        <v>2014</v>
      </c>
      <c r="D101" s="11"/>
      <c r="E101" s="377"/>
      <c r="F101" s="54"/>
      <c r="G101" s="54"/>
      <c r="H101" s="445"/>
      <c r="I101" s="446"/>
      <c r="J101" s="53"/>
      <c r="K101" s="53"/>
      <c r="L101" s="376"/>
      <c r="M101" s="53">
        <f t="shared" si="37"/>
        <v>0</v>
      </c>
      <c r="N101" s="376"/>
      <c r="O101" s="53">
        <f t="shared" si="38"/>
        <v>0</v>
      </c>
      <c r="P101" s="53">
        <f t="shared" si="39"/>
        <v>0</v>
      </c>
      <c r="Q101" s="1"/>
      <c r="R101" s="1"/>
      <c r="S101" s="1"/>
      <c r="T101" s="1"/>
      <c r="U101" s="1"/>
    </row>
    <row r="102" spans="1:21">
      <c r="B102" t="str">
        <f t="shared" ref="B102:B155" si="40">IF(D102=F101,"","IU")</f>
        <v>IU</v>
      </c>
      <c r="C102" s="49">
        <f>IF(D94="","-",+C101+1)</f>
        <v>2015</v>
      </c>
      <c r="D102" s="371">
        <v>7076304.3908220464</v>
      </c>
      <c r="E102" s="373">
        <v>150018.20833333334</v>
      </c>
      <c r="F102" s="375">
        <v>6926286.1824887134</v>
      </c>
      <c r="G102" s="375">
        <v>7001295.2866553795</v>
      </c>
      <c r="H102" s="373">
        <v>929468.41200641857</v>
      </c>
      <c r="I102" s="374">
        <v>929468.41200641857</v>
      </c>
      <c r="J102" s="53">
        <v>0</v>
      </c>
      <c r="K102" s="53"/>
      <c r="L102" s="376">
        <f t="shared" ref="L102:L107" si="41">H102</f>
        <v>929468.41200641857</v>
      </c>
      <c r="M102" s="53">
        <f t="shared" ref="M102:M107" si="42">IF(L102&lt;&gt;0,+H102-L102,0)</f>
        <v>0</v>
      </c>
      <c r="N102" s="376">
        <f t="shared" ref="N102:N107" si="43">I102</f>
        <v>929468.41200641857</v>
      </c>
      <c r="O102" s="53">
        <f t="shared" si="38"/>
        <v>0</v>
      </c>
      <c r="P102" s="53">
        <f t="shared" si="39"/>
        <v>0</v>
      </c>
      <c r="Q102" s="1"/>
      <c r="R102" s="1"/>
      <c r="S102" s="1"/>
      <c r="T102" s="1"/>
      <c r="U102" s="1"/>
    </row>
    <row r="103" spans="1:21">
      <c r="B103" t="str">
        <f t="shared" si="40"/>
        <v>IU</v>
      </c>
      <c r="C103" s="49">
        <f>IF(D94="","-",+C102+1)</f>
        <v>2016</v>
      </c>
      <c r="D103" s="371">
        <v>7060290.791666667</v>
      </c>
      <c r="E103" s="373">
        <v>141378.60784313726</v>
      </c>
      <c r="F103" s="375">
        <v>6918912.1838235296</v>
      </c>
      <c r="G103" s="375">
        <v>6989601.4877450988</v>
      </c>
      <c r="H103" s="373">
        <v>898837.94259524392</v>
      </c>
      <c r="I103" s="374">
        <v>898837.94259524392</v>
      </c>
      <c r="J103" s="53">
        <f>+I103-H103</f>
        <v>0</v>
      </c>
      <c r="K103" s="53"/>
      <c r="L103" s="376">
        <f t="shared" si="41"/>
        <v>898837.94259524392</v>
      </c>
      <c r="M103" s="53">
        <f t="shared" si="42"/>
        <v>0</v>
      </c>
      <c r="N103" s="376">
        <f t="shared" si="43"/>
        <v>898837.94259524392</v>
      </c>
      <c r="O103" s="53">
        <f>IF(N103&lt;&gt;0,+I103-N103,0)</f>
        <v>0</v>
      </c>
      <c r="P103" s="53">
        <f>+O103-M103</f>
        <v>0</v>
      </c>
      <c r="Q103" s="1"/>
      <c r="R103" s="1"/>
      <c r="S103" s="1"/>
      <c r="T103" s="1"/>
      <c r="U103" s="1"/>
    </row>
    <row r="104" spans="1:21">
      <c r="B104" t="str">
        <f t="shared" si="40"/>
        <v/>
      </c>
      <c r="C104" s="49">
        <f>IF(D94="","-",+C103+1)</f>
        <v>2017</v>
      </c>
      <c r="D104" s="371">
        <v>6918912.1838235296</v>
      </c>
      <c r="E104" s="373">
        <v>180257.72500000001</v>
      </c>
      <c r="F104" s="375">
        <v>6738654.45882353</v>
      </c>
      <c r="G104" s="375">
        <v>6828783.3213235298</v>
      </c>
      <c r="H104" s="373">
        <v>981518.91752081981</v>
      </c>
      <c r="I104" s="374">
        <v>981518.91752081981</v>
      </c>
      <c r="J104" s="53">
        <f t="shared" ref="J104:J155" si="44">+I104-H104</f>
        <v>0</v>
      </c>
      <c r="K104" s="53"/>
      <c r="L104" s="376">
        <f t="shared" si="41"/>
        <v>981518.91752081981</v>
      </c>
      <c r="M104" s="53">
        <f t="shared" si="42"/>
        <v>0</v>
      </c>
      <c r="N104" s="376">
        <f t="shared" si="43"/>
        <v>981518.91752081981</v>
      </c>
      <c r="O104" s="53">
        <f>IF(N104&lt;&gt;0,+I104-N104,0)</f>
        <v>0</v>
      </c>
      <c r="P104" s="53">
        <f>+O104-M104</f>
        <v>0</v>
      </c>
      <c r="Q104" s="1"/>
      <c r="R104" s="1"/>
      <c r="S104" s="1"/>
      <c r="T104" s="1"/>
      <c r="U104" s="1"/>
    </row>
    <row r="105" spans="1:21">
      <c r="B105" t="str">
        <f t="shared" si="40"/>
        <v/>
      </c>
      <c r="C105" s="49">
        <f>IF(D94="","-",+C104+1)</f>
        <v>2018</v>
      </c>
      <c r="D105" s="371">
        <v>6738654.45882353</v>
      </c>
      <c r="E105" s="373">
        <v>200286.36111111112</v>
      </c>
      <c r="F105" s="375">
        <v>6538368.097712419</v>
      </c>
      <c r="G105" s="375">
        <v>6638511.278267974</v>
      </c>
      <c r="H105" s="373">
        <v>901063.87001696113</v>
      </c>
      <c r="I105" s="374">
        <v>901063.87001696113</v>
      </c>
      <c r="J105" s="53">
        <f t="shared" si="44"/>
        <v>0</v>
      </c>
      <c r="K105" s="53"/>
      <c r="L105" s="376">
        <f t="shared" si="41"/>
        <v>901063.87001696113</v>
      </c>
      <c r="M105" s="53">
        <f t="shared" si="42"/>
        <v>0</v>
      </c>
      <c r="N105" s="376">
        <f t="shared" si="43"/>
        <v>901063.87001696113</v>
      </c>
      <c r="O105" s="53">
        <f>IF(N105&lt;&gt;0,+I105-N105,0)</f>
        <v>0</v>
      </c>
      <c r="P105" s="53">
        <f>+O105-M105</f>
        <v>0</v>
      </c>
      <c r="Q105" s="1"/>
      <c r="R105" s="1"/>
      <c r="S105" s="1"/>
      <c r="T105" s="1"/>
      <c r="U105" s="1"/>
    </row>
    <row r="106" spans="1:21">
      <c r="B106" t="str">
        <f t="shared" si="40"/>
        <v/>
      </c>
      <c r="C106" s="49">
        <f>IF(D94="","-",+C105+1)</f>
        <v>2019</v>
      </c>
      <c r="D106" s="371">
        <v>6538368.097712419</v>
      </c>
      <c r="E106" s="373">
        <v>200286.36111111112</v>
      </c>
      <c r="F106" s="375">
        <v>6338081.736601308</v>
      </c>
      <c r="G106" s="375">
        <v>6438224.917156864</v>
      </c>
      <c r="H106" s="373">
        <v>879921.15121692908</v>
      </c>
      <c r="I106" s="374">
        <v>879921.15121692908</v>
      </c>
      <c r="J106" s="53">
        <f t="shared" si="44"/>
        <v>0</v>
      </c>
      <c r="K106" s="53"/>
      <c r="L106" s="376">
        <f t="shared" si="41"/>
        <v>879921.15121692908</v>
      </c>
      <c r="M106" s="53">
        <f t="shared" si="42"/>
        <v>0</v>
      </c>
      <c r="N106" s="376">
        <f t="shared" si="43"/>
        <v>879921.15121692908</v>
      </c>
      <c r="O106" s="53">
        <f>IF(N106&lt;&gt;0,+I106-N106,0)</f>
        <v>0</v>
      </c>
      <c r="P106" s="53">
        <f t="shared" si="39"/>
        <v>0</v>
      </c>
      <c r="Q106" s="1"/>
      <c r="R106" s="1"/>
      <c r="S106" s="1"/>
      <c r="T106" s="1"/>
      <c r="U106" s="1"/>
    </row>
    <row r="107" spans="1:21">
      <c r="B107" t="str">
        <f t="shared" si="40"/>
        <v/>
      </c>
      <c r="C107" s="49">
        <f>IF(D94="","-",+C106+1)</f>
        <v>2020</v>
      </c>
      <c r="D107" s="371">
        <v>6338081.736601308</v>
      </c>
      <c r="E107" s="373">
        <v>257511.03571428571</v>
      </c>
      <c r="F107" s="375">
        <v>6080570.7008870225</v>
      </c>
      <c r="G107" s="375">
        <v>6209326.2187441653</v>
      </c>
      <c r="H107" s="373">
        <v>918267.16489887808</v>
      </c>
      <c r="I107" s="374">
        <v>918267.16489887808</v>
      </c>
      <c r="J107" s="53">
        <f t="shared" si="44"/>
        <v>0</v>
      </c>
      <c r="K107" s="53"/>
      <c r="L107" s="376">
        <f t="shared" si="41"/>
        <v>918267.16489887808</v>
      </c>
      <c r="M107" s="53">
        <f t="shared" si="42"/>
        <v>0</v>
      </c>
      <c r="N107" s="376">
        <f t="shared" si="43"/>
        <v>918267.16489887808</v>
      </c>
      <c r="O107" s="53">
        <f t="shared" si="38"/>
        <v>0</v>
      </c>
      <c r="P107" s="53">
        <f t="shared" si="39"/>
        <v>0</v>
      </c>
      <c r="Q107" s="1"/>
      <c r="R107" s="1"/>
      <c r="S107" s="1"/>
      <c r="T107" s="1"/>
      <c r="U107" s="1"/>
    </row>
    <row r="108" spans="1:21">
      <c r="B108" t="str">
        <f t="shared" si="40"/>
        <v/>
      </c>
      <c r="C108" s="49">
        <f>IF(D94="","-",+C107+1)</f>
        <v>2021</v>
      </c>
      <c r="D108" s="371">
        <v>6080570.7008870225</v>
      </c>
      <c r="E108" s="373">
        <v>288412.36</v>
      </c>
      <c r="F108" s="375">
        <v>5792158.3408870222</v>
      </c>
      <c r="G108" s="375">
        <v>5936364.5208870228</v>
      </c>
      <c r="H108" s="373">
        <v>988677.86959528725</v>
      </c>
      <c r="I108" s="374">
        <v>988677.86959528725</v>
      </c>
      <c r="J108" s="53">
        <f t="shared" si="44"/>
        <v>0</v>
      </c>
      <c r="K108" s="53"/>
      <c r="L108" s="376">
        <f t="shared" ref="L108" si="45">H108</f>
        <v>988677.86959528725</v>
      </c>
      <c r="M108" s="53">
        <f t="shared" ref="M108" si="46">IF(L108&lt;&gt;0,+H108-L108,0)</f>
        <v>0</v>
      </c>
      <c r="N108" s="376">
        <f t="shared" ref="N108" si="47">I108</f>
        <v>988677.86959528725</v>
      </c>
      <c r="O108" s="53">
        <f t="shared" si="38"/>
        <v>0</v>
      </c>
      <c r="P108" s="53">
        <f t="shared" si="39"/>
        <v>0</v>
      </c>
      <c r="Q108" s="1"/>
      <c r="R108" s="1"/>
      <c r="S108" s="1"/>
      <c r="T108" s="1"/>
      <c r="U108" s="1"/>
    </row>
    <row r="109" spans="1:21">
      <c r="B109" t="str">
        <f t="shared" si="40"/>
        <v/>
      </c>
      <c r="C109" s="49">
        <f>IF(D94="","-",+C108+1)</f>
        <v>2022</v>
      </c>
      <c r="D109" s="371">
        <v>5792158.3408870222</v>
      </c>
      <c r="E109" s="373">
        <v>343348.04761904763</v>
      </c>
      <c r="F109" s="375">
        <v>5448810.2932679746</v>
      </c>
      <c r="G109" s="375">
        <v>5620484.3170774989</v>
      </c>
      <c r="H109" s="373">
        <v>989512.73752603144</v>
      </c>
      <c r="I109" s="374">
        <v>989512.73752603144</v>
      </c>
      <c r="J109" s="53">
        <f t="shared" si="44"/>
        <v>0</v>
      </c>
      <c r="K109" s="53"/>
      <c r="L109" s="376">
        <f t="shared" ref="L109" si="48">H109</f>
        <v>989512.73752603144</v>
      </c>
      <c r="M109" s="53">
        <f t="shared" ref="M109" si="49">IF(L109&lt;&gt;0,+H109-L109,0)</f>
        <v>0</v>
      </c>
      <c r="N109" s="376">
        <f t="shared" ref="N109" si="50">I109</f>
        <v>989512.73752603144</v>
      </c>
      <c r="O109" s="53">
        <f t="shared" ref="O109" si="51">IF(N109&lt;&gt;0,+I109-N109,0)</f>
        <v>0</v>
      </c>
      <c r="P109" s="53">
        <f t="shared" ref="P109" si="52">+O109-M109</f>
        <v>0</v>
      </c>
      <c r="Q109" s="1"/>
      <c r="R109" s="1"/>
      <c r="S109" s="1"/>
      <c r="T109" s="1"/>
      <c r="U109" s="1"/>
    </row>
    <row r="110" spans="1:21">
      <c r="B110" t="str">
        <f t="shared" si="40"/>
        <v>IU</v>
      </c>
      <c r="C110" s="49">
        <f>IF(D94="","-",+C109+1)</f>
        <v>2023</v>
      </c>
      <c r="D110" s="371">
        <v>5448810.2432679739</v>
      </c>
      <c r="E110" s="373">
        <v>379489.94473684212</v>
      </c>
      <c r="F110" s="375">
        <v>5069320.2985311318</v>
      </c>
      <c r="G110" s="375">
        <v>5259065.2708995529</v>
      </c>
      <c r="H110" s="373">
        <v>956063.14911265764</v>
      </c>
      <c r="I110" s="374">
        <v>956063.14911265764</v>
      </c>
      <c r="J110" s="53">
        <f t="shared" si="44"/>
        <v>0</v>
      </c>
      <c r="K110" s="53"/>
      <c r="L110" s="376">
        <f t="shared" ref="L110" si="53">H110</f>
        <v>956063.14911265764</v>
      </c>
      <c r="M110" s="53">
        <f t="shared" ref="M110" si="54">IF(L110&lt;&gt;0,+H110-L110,0)</f>
        <v>0</v>
      </c>
      <c r="N110" s="376">
        <f t="shared" ref="N110" si="55">I110</f>
        <v>956063.14911265764</v>
      </c>
      <c r="O110" s="53">
        <f t="shared" ref="O110" si="56">IF(N110&lt;&gt;0,+I110-N110,0)</f>
        <v>0</v>
      </c>
      <c r="P110" s="53">
        <f t="shared" ref="P110" si="57">+O110-M110</f>
        <v>0</v>
      </c>
      <c r="Q110" s="1"/>
      <c r="R110" s="1"/>
      <c r="S110" s="1"/>
      <c r="T110" s="1"/>
      <c r="U110" s="1"/>
    </row>
    <row r="111" spans="1:21">
      <c r="B111" t="str">
        <f t="shared" si="40"/>
        <v/>
      </c>
      <c r="C111" s="49">
        <f>IF(D94="","-",+C110+1)</f>
        <v>2024</v>
      </c>
      <c r="D111" s="371">
        <v>5069320.2985311318</v>
      </c>
      <c r="E111" s="373">
        <v>424135.82058823528</v>
      </c>
      <c r="F111" s="375">
        <v>4645184.477942897</v>
      </c>
      <c r="G111" s="375">
        <v>4857252.3882370144</v>
      </c>
      <c r="H111" s="373">
        <v>961956.08779990324</v>
      </c>
      <c r="I111" s="374">
        <v>961956.08779990324</v>
      </c>
      <c r="J111" s="53">
        <f t="shared" si="44"/>
        <v>0</v>
      </c>
      <c r="K111" s="53"/>
      <c r="L111" s="376">
        <f t="shared" ref="L111" si="58">H111</f>
        <v>961956.08779990324</v>
      </c>
      <c r="M111" s="53">
        <f t="shared" ref="M111" si="59">IF(L111&lt;&gt;0,+H111-L111,0)</f>
        <v>0</v>
      </c>
      <c r="N111" s="376">
        <f t="shared" ref="N111" si="60">I111</f>
        <v>961956.08779990324</v>
      </c>
      <c r="O111" s="53">
        <f t="shared" ref="O111" si="61">IF(N111&lt;&gt;0,+I111-N111,0)</f>
        <v>0</v>
      </c>
      <c r="P111" s="53">
        <f t="shared" ref="P111" si="62">+O111-M111</f>
        <v>0</v>
      </c>
      <c r="Q111" s="1"/>
      <c r="R111" s="1"/>
      <c r="S111" s="1"/>
      <c r="T111" s="1"/>
      <c r="U111" s="1"/>
    </row>
    <row r="112" spans="1:21">
      <c r="B112" t="str">
        <f t="shared" si="40"/>
        <v/>
      </c>
      <c r="C112" s="49">
        <f>IF(D94="","-",+C111+1)</f>
        <v>2025</v>
      </c>
      <c r="D112" s="11">
        <f>IF(F111+SUM(E$100:E111)=D$93,F111,D$93-SUM(E$100:E111))</f>
        <v>4645184.477942897</v>
      </c>
      <c r="E112" s="447">
        <f t="shared" ref="E112:E155" si="63">IF(+$J$97&lt;F111,$J$97,D112)</f>
        <v>225322.15468750001</v>
      </c>
      <c r="F112" s="54">
        <f t="shared" ref="F112:F155" si="64">+D112-E112</f>
        <v>4419862.3232553974</v>
      </c>
      <c r="G112" s="54">
        <f t="shared" ref="G112:G155" si="65">+(F112+D112)/2</f>
        <v>4532523.4005991472</v>
      </c>
      <c r="H112" s="459">
        <f t="shared" ref="H112:H155" si="66">(D112+F112)/2*J$95+E112</f>
        <v>735072.2204055764</v>
      </c>
      <c r="I112" s="448">
        <f t="shared" ref="I112:I155" si="67">+J$96*G112+E112</f>
        <v>735072.2204055764</v>
      </c>
      <c r="J112" s="53">
        <f t="shared" si="44"/>
        <v>0</v>
      </c>
      <c r="K112" s="53"/>
      <c r="L112" s="112"/>
      <c r="M112" s="53">
        <f t="shared" si="37"/>
        <v>0</v>
      </c>
      <c r="N112" s="112"/>
      <c r="O112" s="53">
        <f t="shared" si="38"/>
        <v>0</v>
      </c>
      <c r="P112" s="53">
        <f t="shared" si="39"/>
        <v>0</v>
      </c>
      <c r="Q112" s="1"/>
      <c r="R112" s="1"/>
      <c r="S112" s="1"/>
      <c r="T112" s="1"/>
      <c r="U112" s="1"/>
    </row>
    <row r="113" spans="2:21">
      <c r="B113" t="str">
        <f t="shared" si="40"/>
        <v/>
      </c>
      <c r="C113" s="49">
        <f>IF(D94="","-",+C112+1)</f>
        <v>2026</v>
      </c>
      <c r="D113" s="11">
        <f>IF(F112+SUM(E$100:E112)=D$93,F112,D$93-SUM(E$100:E112))</f>
        <v>4419862.3232553974</v>
      </c>
      <c r="E113" s="447">
        <f t="shared" si="63"/>
        <v>225322.15468750001</v>
      </c>
      <c r="F113" s="54">
        <f t="shared" si="64"/>
        <v>4194540.1685678978</v>
      </c>
      <c r="G113" s="54">
        <f t="shared" si="65"/>
        <v>4307201.2459116476</v>
      </c>
      <c r="H113" s="459">
        <f t="shared" si="66"/>
        <v>709731.37315379851</v>
      </c>
      <c r="I113" s="448">
        <f t="shared" si="67"/>
        <v>709731.37315379851</v>
      </c>
      <c r="J113" s="53">
        <f t="shared" si="44"/>
        <v>0</v>
      </c>
      <c r="K113" s="53"/>
      <c r="L113" s="112"/>
      <c r="M113" s="53">
        <f t="shared" si="37"/>
        <v>0</v>
      </c>
      <c r="N113" s="112"/>
      <c r="O113" s="53">
        <f t="shared" si="38"/>
        <v>0</v>
      </c>
      <c r="P113" s="53">
        <f t="shared" si="39"/>
        <v>0</v>
      </c>
      <c r="Q113" s="1"/>
      <c r="R113" s="1"/>
      <c r="S113" s="1"/>
      <c r="T113" s="1"/>
      <c r="U113" s="1"/>
    </row>
    <row r="114" spans="2:21">
      <c r="B114" t="str">
        <f t="shared" si="40"/>
        <v/>
      </c>
      <c r="C114" s="49">
        <f>IF(D94="","-",+C113+1)</f>
        <v>2027</v>
      </c>
      <c r="D114" s="11">
        <f>IF(F113+SUM(E$100:E113)=D$93,F113,D$93-SUM(E$100:E113))</f>
        <v>4194540.1685678978</v>
      </c>
      <c r="E114" s="447">
        <f t="shared" si="63"/>
        <v>225322.15468750001</v>
      </c>
      <c r="F114" s="54">
        <f t="shared" si="64"/>
        <v>3969218.0138803977</v>
      </c>
      <c r="G114" s="54">
        <f t="shared" si="65"/>
        <v>4081879.0912241479</v>
      </c>
      <c r="H114" s="459">
        <f t="shared" si="66"/>
        <v>684390.52590202074</v>
      </c>
      <c r="I114" s="448">
        <f t="shared" si="67"/>
        <v>684390.52590202074</v>
      </c>
      <c r="J114" s="53">
        <f t="shared" si="44"/>
        <v>0</v>
      </c>
      <c r="K114" s="53"/>
      <c r="L114" s="112"/>
      <c r="M114" s="53">
        <f t="shared" si="37"/>
        <v>0</v>
      </c>
      <c r="N114" s="112"/>
      <c r="O114" s="53">
        <f t="shared" si="38"/>
        <v>0</v>
      </c>
      <c r="P114" s="53">
        <f t="shared" si="39"/>
        <v>0</v>
      </c>
      <c r="Q114" s="1"/>
      <c r="R114" s="1"/>
      <c r="S114" s="1"/>
      <c r="T114" s="1"/>
      <c r="U114" s="1"/>
    </row>
    <row r="115" spans="2:21">
      <c r="B115" t="str">
        <f t="shared" si="40"/>
        <v/>
      </c>
      <c r="C115" s="49">
        <f>IF(D94="","-",+C114+1)</f>
        <v>2028</v>
      </c>
      <c r="D115" s="11">
        <f>IF(F114+SUM(E$100:E114)=D$93,F114,D$93-SUM(E$100:E114))</f>
        <v>3969218.0138803977</v>
      </c>
      <c r="E115" s="447">
        <f t="shared" si="63"/>
        <v>225322.15468750001</v>
      </c>
      <c r="F115" s="54">
        <f t="shared" si="64"/>
        <v>3743895.8591928976</v>
      </c>
      <c r="G115" s="54">
        <f t="shared" si="65"/>
        <v>3856556.9365366474</v>
      </c>
      <c r="H115" s="459">
        <f t="shared" si="66"/>
        <v>659049.67865024286</v>
      </c>
      <c r="I115" s="448">
        <f t="shared" si="67"/>
        <v>659049.67865024286</v>
      </c>
      <c r="J115" s="53">
        <f t="shared" si="44"/>
        <v>0</v>
      </c>
      <c r="K115" s="53"/>
      <c r="L115" s="112"/>
      <c r="M115" s="53">
        <f t="shared" si="37"/>
        <v>0</v>
      </c>
      <c r="N115" s="112"/>
      <c r="O115" s="53">
        <f t="shared" si="38"/>
        <v>0</v>
      </c>
      <c r="P115" s="53">
        <f t="shared" si="39"/>
        <v>0</v>
      </c>
      <c r="Q115" s="1"/>
      <c r="R115" s="1"/>
      <c r="S115" s="1"/>
      <c r="T115" s="1"/>
      <c r="U115" s="1"/>
    </row>
    <row r="116" spans="2:21">
      <c r="B116" t="str">
        <f t="shared" si="40"/>
        <v/>
      </c>
      <c r="C116" s="49">
        <f>IF(D94="","-",+C115+1)</f>
        <v>2029</v>
      </c>
      <c r="D116" s="11">
        <f>IF(F115+SUM(E$100:E115)=D$93,F115,D$93-SUM(E$100:E115))</f>
        <v>3743895.8591928976</v>
      </c>
      <c r="E116" s="447">
        <f t="shared" si="63"/>
        <v>225322.15468750001</v>
      </c>
      <c r="F116" s="54">
        <f t="shared" si="64"/>
        <v>3518573.7045053975</v>
      </c>
      <c r="G116" s="54">
        <f t="shared" si="65"/>
        <v>3631234.7818491478</v>
      </c>
      <c r="H116" s="459">
        <f t="shared" si="66"/>
        <v>633708.83139846497</v>
      </c>
      <c r="I116" s="448">
        <f t="shared" si="67"/>
        <v>633708.83139846497</v>
      </c>
      <c r="J116" s="53">
        <f t="shared" si="44"/>
        <v>0</v>
      </c>
      <c r="K116" s="53"/>
      <c r="L116" s="112"/>
      <c r="M116" s="53">
        <f t="shared" si="37"/>
        <v>0</v>
      </c>
      <c r="N116" s="112"/>
      <c r="O116" s="53">
        <f t="shared" si="38"/>
        <v>0</v>
      </c>
      <c r="P116" s="53">
        <f t="shared" si="39"/>
        <v>0</v>
      </c>
      <c r="Q116" s="1"/>
      <c r="R116" s="1"/>
      <c r="S116" s="1"/>
      <c r="T116" s="1"/>
      <c r="U116" s="1"/>
    </row>
    <row r="117" spans="2:21">
      <c r="B117" t="str">
        <f t="shared" si="40"/>
        <v/>
      </c>
      <c r="C117" s="49">
        <f>IF(D94="","-",+C116+1)</f>
        <v>2030</v>
      </c>
      <c r="D117" s="11">
        <f>IF(F116+SUM(E$100:E116)=D$93,F116,D$93-SUM(E$100:E116))</f>
        <v>3518573.7045053975</v>
      </c>
      <c r="E117" s="447">
        <f t="shared" si="63"/>
        <v>225322.15468750001</v>
      </c>
      <c r="F117" s="54">
        <f t="shared" si="64"/>
        <v>3293251.5498178974</v>
      </c>
      <c r="G117" s="54">
        <f t="shared" si="65"/>
        <v>3405912.6271616472</v>
      </c>
      <c r="H117" s="459">
        <f t="shared" si="66"/>
        <v>608367.98414668709</v>
      </c>
      <c r="I117" s="448">
        <f t="shared" si="67"/>
        <v>608367.98414668709</v>
      </c>
      <c r="J117" s="53">
        <f t="shared" si="44"/>
        <v>0</v>
      </c>
      <c r="K117" s="53"/>
      <c r="L117" s="112"/>
      <c r="M117" s="53">
        <f t="shared" si="37"/>
        <v>0</v>
      </c>
      <c r="N117" s="112"/>
      <c r="O117" s="53">
        <f t="shared" si="38"/>
        <v>0</v>
      </c>
      <c r="P117" s="53">
        <f t="shared" si="39"/>
        <v>0</v>
      </c>
      <c r="Q117" s="1"/>
      <c r="R117" s="1"/>
      <c r="S117" s="1"/>
      <c r="T117" s="1"/>
      <c r="U117" s="1"/>
    </row>
    <row r="118" spans="2:21">
      <c r="B118" t="str">
        <f t="shared" si="40"/>
        <v/>
      </c>
      <c r="C118" s="49">
        <f>IF(D94="","-",+C117+1)</f>
        <v>2031</v>
      </c>
      <c r="D118" s="11">
        <f>IF(F117+SUM(E$100:E117)=D$93,F117,D$93-SUM(E$100:E117))</f>
        <v>3293251.5498178974</v>
      </c>
      <c r="E118" s="447">
        <f t="shared" si="63"/>
        <v>225322.15468750001</v>
      </c>
      <c r="F118" s="54">
        <f t="shared" si="64"/>
        <v>3067929.3951303973</v>
      </c>
      <c r="G118" s="54">
        <f t="shared" si="65"/>
        <v>3180590.4724741476</v>
      </c>
      <c r="H118" s="459">
        <f t="shared" si="66"/>
        <v>583027.13689490932</v>
      </c>
      <c r="I118" s="448">
        <f t="shared" si="67"/>
        <v>583027.13689490932</v>
      </c>
      <c r="J118" s="53">
        <f t="shared" si="44"/>
        <v>0</v>
      </c>
      <c r="K118" s="53"/>
      <c r="L118" s="112"/>
      <c r="M118" s="53">
        <f t="shared" si="37"/>
        <v>0</v>
      </c>
      <c r="N118" s="112"/>
      <c r="O118" s="53">
        <f t="shared" si="38"/>
        <v>0</v>
      </c>
      <c r="P118" s="53">
        <f t="shared" si="39"/>
        <v>0</v>
      </c>
      <c r="Q118" s="1"/>
      <c r="R118" s="1"/>
      <c r="S118" s="1"/>
      <c r="T118" s="1"/>
      <c r="U118" s="1"/>
    </row>
    <row r="119" spans="2:21">
      <c r="B119" t="str">
        <f t="shared" si="40"/>
        <v/>
      </c>
      <c r="C119" s="49">
        <f>IF(D94="","-",+C118+1)</f>
        <v>2032</v>
      </c>
      <c r="D119" s="11">
        <f>IF(F118+SUM(E$100:E118)=D$93,F118,D$93-SUM(E$100:E118))</f>
        <v>3067929.3951303973</v>
      </c>
      <c r="E119" s="447">
        <f t="shared" si="63"/>
        <v>225322.15468750001</v>
      </c>
      <c r="F119" s="54">
        <f t="shared" si="64"/>
        <v>2842607.2404428972</v>
      </c>
      <c r="G119" s="54">
        <f t="shared" si="65"/>
        <v>2955268.317786647</v>
      </c>
      <c r="H119" s="459">
        <f t="shared" si="66"/>
        <v>557686.28964313143</v>
      </c>
      <c r="I119" s="448">
        <f t="shared" si="67"/>
        <v>557686.28964313143</v>
      </c>
      <c r="J119" s="53">
        <f t="shared" si="44"/>
        <v>0</v>
      </c>
      <c r="K119" s="53"/>
      <c r="L119" s="112"/>
      <c r="M119" s="53">
        <f t="shared" si="37"/>
        <v>0</v>
      </c>
      <c r="N119" s="112"/>
      <c r="O119" s="53">
        <f t="shared" si="38"/>
        <v>0</v>
      </c>
      <c r="P119" s="53">
        <f t="shared" si="39"/>
        <v>0</v>
      </c>
      <c r="Q119" s="1"/>
      <c r="R119" s="1"/>
      <c r="S119" s="1"/>
      <c r="T119" s="1"/>
      <c r="U119" s="1"/>
    </row>
    <row r="120" spans="2:21">
      <c r="B120" t="str">
        <f t="shared" si="40"/>
        <v/>
      </c>
      <c r="C120" s="49">
        <f>IF(D94="","-",+C119+1)</f>
        <v>2033</v>
      </c>
      <c r="D120" s="11">
        <f>IF(F119+SUM(E$100:E119)=D$93,F119,D$93-SUM(E$100:E119))</f>
        <v>2842607.2404428972</v>
      </c>
      <c r="E120" s="447">
        <f t="shared" si="63"/>
        <v>225322.15468750001</v>
      </c>
      <c r="F120" s="54">
        <f t="shared" si="64"/>
        <v>2617285.0857553971</v>
      </c>
      <c r="G120" s="54">
        <f t="shared" si="65"/>
        <v>2729946.1630991474</v>
      </c>
      <c r="H120" s="459">
        <f t="shared" si="66"/>
        <v>532345.44239135354</v>
      </c>
      <c r="I120" s="448">
        <f t="shared" si="67"/>
        <v>532345.44239135354</v>
      </c>
      <c r="J120" s="53">
        <f t="shared" si="44"/>
        <v>0</v>
      </c>
      <c r="K120" s="53"/>
      <c r="L120" s="112"/>
      <c r="M120" s="53">
        <f t="shared" si="37"/>
        <v>0</v>
      </c>
      <c r="N120" s="112"/>
      <c r="O120" s="53">
        <f t="shared" si="38"/>
        <v>0</v>
      </c>
      <c r="P120" s="53">
        <f t="shared" si="39"/>
        <v>0</v>
      </c>
      <c r="Q120" s="1"/>
      <c r="R120" s="1"/>
      <c r="S120" s="1"/>
      <c r="T120" s="1"/>
      <c r="U120" s="1"/>
    </row>
    <row r="121" spans="2:21">
      <c r="B121" t="str">
        <f t="shared" si="40"/>
        <v/>
      </c>
      <c r="C121" s="49">
        <f>IF(D94="","-",+C120+1)</f>
        <v>2034</v>
      </c>
      <c r="D121" s="11">
        <f>IF(F120+SUM(E$100:E120)=D$93,F120,D$93-SUM(E$100:E120))</f>
        <v>2617285.0857553971</v>
      </c>
      <c r="E121" s="447">
        <f t="shared" si="63"/>
        <v>225322.15468750001</v>
      </c>
      <c r="F121" s="54">
        <f t="shared" si="64"/>
        <v>2391962.931067897</v>
      </c>
      <c r="G121" s="54">
        <f t="shared" si="65"/>
        <v>2504624.0084116468</v>
      </c>
      <c r="H121" s="459">
        <f t="shared" si="66"/>
        <v>507004.59513957566</v>
      </c>
      <c r="I121" s="448">
        <f t="shared" si="67"/>
        <v>507004.59513957566</v>
      </c>
      <c r="J121" s="53">
        <f t="shared" si="44"/>
        <v>0</v>
      </c>
      <c r="K121" s="53"/>
      <c r="L121" s="112"/>
      <c r="M121" s="53">
        <f t="shared" si="37"/>
        <v>0</v>
      </c>
      <c r="N121" s="112"/>
      <c r="O121" s="53">
        <f t="shared" si="38"/>
        <v>0</v>
      </c>
      <c r="P121" s="53">
        <f t="shared" si="39"/>
        <v>0</v>
      </c>
      <c r="Q121" s="1"/>
      <c r="R121" s="1"/>
      <c r="S121" s="1"/>
      <c r="T121" s="1"/>
      <c r="U121" s="1"/>
    </row>
    <row r="122" spans="2:21">
      <c r="B122" t="str">
        <f t="shared" si="40"/>
        <v/>
      </c>
      <c r="C122" s="49">
        <f>IF(D94="","-",+C121+1)</f>
        <v>2035</v>
      </c>
      <c r="D122" s="11">
        <f>IF(F121+SUM(E$100:E121)=D$93,F121,D$93-SUM(E$100:E121))</f>
        <v>2391962.931067897</v>
      </c>
      <c r="E122" s="447">
        <f t="shared" si="63"/>
        <v>225322.15468750001</v>
      </c>
      <c r="F122" s="54">
        <f t="shared" si="64"/>
        <v>2166640.7763803969</v>
      </c>
      <c r="G122" s="54">
        <f t="shared" si="65"/>
        <v>2279301.8537241472</v>
      </c>
      <c r="H122" s="459">
        <f t="shared" si="66"/>
        <v>481663.74788779789</v>
      </c>
      <c r="I122" s="448">
        <f t="shared" si="67"/>
        <v>481663.74788779789</v>
      </c>
      <c r="J122" s="53">
        <f t="shared" si="44"/>
        <v>0</v>
      </c>
      <c r="K122" s="53"/>
      <c r="L122" s="112"/>
      <c r="M122" s="53">
        <f t="shared" si="37"/>
        <v>0</v>
      </c>
      <c r="N122" s="112"/>
      <c r="O122" s="53">
        <f t="shared" si="38"/>
        <v>0</v>
      </c>
      <c r="P122" s="53">
        <f t="shared" si="39"/>
        <v>0</v>
      </c>
      <c r="Q122" s="1"/>
      <c r="R122" s="1"/>
      <c r="S122" s="1"/>
      <c r="T122" s="1"/>
      <c r="U122" s="1"/>
    </row>
    <row r="123" spans="2:21">
      <c r="B123" t="str">
        <f t="shared" si="40"/>
        <v/>
      </c>
      <c r="C123" s="49">
        <f>IF(D94="","-",+C122+1)</f>
        <v>2036</v>
      </c>
      <c r="D123" s="11">
        <f>IF(F122+SUM(E$100:E122)=D$93,F122,D$93-SUM(E$100:E122))</f>
        <v>2166640.7763803969</v>
      </c>
      <c r="E123" s="447">
        <f t="shared" si="63"/>
        <v>225322.15468750001</v>
      </c>
      <c r="F123" s="54">
        <f t="shared" si="64"/>
        <v>1941318.6216928968</v>
      </c>
      <c r="G123" s="54">
        <f t="shared" si="65"/>
        <v>2053979.6990366469</v>
      </c>
      <c r="H123" s="459">
        <f t="shared" si="66"/>
        <v>456322.90063602</v>
      </c>
      <c r="I123" s="448">
        <f t="shared" si="67"/>
        <v>456322.90063602</v>
      </c>
      <c r="J123" s="53">
        <f t="shared" si="44"/>
        <v>0</v>
      </c>
      <c r="K123" s="53"/>
      <c r="L123" s="112"/>
      <c r="M123" s="53">
        <f t="shared" si="37"/>
        <v>0</v>
      </c>
      <c r="N123" s="112"/>
      <c r="O123" s="53">
        <f t="shared" si="38"/>
        <v>0</v>
      </c>
      <c r="P123" s="53">
        <f t="shared" si="39"/>
        <v>0</v>
      </c>
      <c r="Q123" s="1"/>
      <c r="R123" s="1"/>
      <c r="S123" s="1"/>
      <c r="T123" s="1"/>
      <c r="U123" s="1"/>
    </row>
    <row r="124" spans="2:21">
      <c r="B124" t="str">
        <f t="shared" si="40"/>
        <v/>
      </c>
      <c r="C124" s="49">
        <f>IF(D94="","-",+C123+1)</f>
        <v>2037</v>
      </c>
      <c r="D124" s="11">
        <f>IF(F123+SUM(E$100:E123)=D$93,F123,D$93-SUM(E$100:E123))</f>
        <v>1941318.6216928968</v>
      </c>
      <c r="E124" s="447">
        <f t="shared" si="63"/>
        <v>225322.15468750001</v>
      </c>
      <c r="F124" s="54">
        <f t="shared" si="64"/>
        <v>1715996.4670053967</v>
      </c>
      <c r="G124" s="54">
        <f t="shared" si="65"/>
        <v>1828657.5443491468</v>
      </c>
      <c r="H124" s="459">
        <f t="shared" si="66"/>
        <v>430982.05338424211</v>
      </c>
      <c r="I124" s="448">
        <f t="shared" si="67"/>
        <v>430982.05338424211</v>
      </c>
      <c r="J124" s="53">
        <f t="shared" si="44"/>
        <v>0</v>
      </c>
      <c r="K124" s="53"/>
      <c r="L124" s="112"/>
      <c r="M124" s="53">
        <f t="shared" si="37"/>
        <v>0</v>
      </c>
      <c r="N124" s="112"/>
      <c r="O124" s="53">
        <f t="shared" si="38"/>
        <v>0</v>
      </c>
      <c r="P124" s="53">
        <f t="shared" si="39"/>
        <v>0</v>
      </c>
      <c r="Q124" s="1"/>
      <c r="R124" s="1"/>
      <c r="S124" s="1"/>
      <c r="T124" s="1"/>
      <c r="U124" s="1"/>
    </row>
    <row r="125" spans="2:21">
      <c r="B125" t="str">
        <f t="shared" si="40"/>
        <v/>
      </c>
      <c r="C125" s="49">
        <f>IF(D94="","-",+C124+1)</f>
        <v>2038</v>
      </c>
      <c r="D125" s="11">
        <f>IF(F124+SUM(E$100:E124)=D$93,F124,D$93-SUM(E$100:E124))</f>
        <v>1715996.4670053967</v>
      </c>
      <c r="E125" s="447">
        <f t="shared" si="63"/>
        <v>225322.15468750001</v>
      </c>
      <c r="F125" s="54">
        <f t="shared" si="64"/>
        <v>1490674.3123178966</v>
      </c>
      <c r="G125" s="54">
        <f t="shared" si="65"/>
        <v>1603335.3896616467</v>
      </c>
      <c r="H125" s="459">
        <f t="shared" si="66"/>
        <v>405641.20613246423</v>
      </c>
      <c r="I125" s="448">
        <f t="shared" si="67"/>
        <v>405641.20613246423</v>
      </c>
      <c r="J125" s="53">
        <f t="shared" si="44"/>
        <v>0</v>
      </c>
      <c r="K125" s="53"/>
      <c r="L125" s="112"/>
      <c r="M125" s="53">
        <f t="shared" si="37"/>
        <v>0</v>
      </c>
      <c r="N125" s="112"/>
      <c r="O125" s="53">
        <f t="shared" si="38"/>
        <v>0</v>
      </c>
      <c r="P125" s="53">
        <f t="shared" si="39"/>
        <v>0</v>
      </c>
      <c r="Q125" s="1"/>
      <c r="R125" s="1"/>
      <c r="S125" s="1"/>
      <c r="T125" s="1"/>
      <c r="U125" s="1"/>
    </row>
    <row r="126" spans="2:21">
      <c r="B126" t="str">
        <f t="shared" si="40"/>
        <v/>
      </c>
      <c r="C126" s="49">
        <f>IF(D94="","-",+C125+1)</f>
        <v>2039</v>
      </c>
      <c r="D126" s="11">
        <f>IF(F125+SUM(E$100:E125)=D$93,F125,D$93-SUM(E$100:E125))</f>
        <v>1490674.3123178966</v>
      </c>
      <c r="E126" s="447">
        <f t="shared" si="63"/>
        <v>225322.15468750001</v>
      </c>
      <c r="F126" s="54">
        <f t="shared" si="64"/>
        <v>1265352.1576303965</v>
      </c>
      <c r="G126" s="54">
        <f t="shared" si="65"/>
        <v>1378013.2349741466</v>
      </c>
      <c r="H126" s="459">
        <f t="shared" si="66"/>
        <v>380300.3588806864</v>
      </c>
      <c r="I126" s="448">
        <f t="shared" si="67"/>
        <v>380300.3588806864</v>
      </c>
      <c r="J126" s="53">
        <f t="shared" si="44"/>
        <v>0</v>
      </c>
      <c r="K126" s="53"/>
      <c r="L126" s="112"/>
      <c r="M126" s="53">
        <f t="shared" si="37"/>
        <v>0</v>
      </c>
      <c r="N126" s="112"/>
      <c r="O126" s="53">
        <f t="shared" si="38"/>
        <v>0</v>
      </c>
      <c r="P126" s="53">
        <f t="shared" si="39"/>
        <v>0</v>
      </c>
      <c r="Q126" s="1"/>
      <c r="R126" s="1"/>
      <c r="S126" s="1"/>
      <c r="T126" s="1"/>
      <c r="U126" s="1"/>
    </row>
    <row r="127" spans="2:21">
      <c r="B127" t="str">
        <f t="shared" si="40"/>
        <v/>
      </c>
      <c r="C127" s="49">
        <f>IF(D94="","-",+C126+1)</f>
        <v>2040</v>
      </c>
      <c r="D127" s="11">
        <f>IF(F126+SUM(E$100:E126)=D$93,F126,D$93-SUM(E$100:E126))</f>
        <v>1265352.1576303965</v>
      </c>
      <c r="E127" s="447">
        <f t="shared" si="63"/>
        <v>225322.15468750001</v>
      </c>
      <c r="F127" s="54">
        <f t="shared" si="64"/>
        <v>1040030.0029428966</v>
      </c>
      <c r="G127" s="54">
        <f t="shared" si="65"/>
        <v>1152691.0802866465</v>
      </c>
      <c r="H127" s="459">
        <f t="shared" si="66"/>
        <v>354959.51162890857</v>
      </c>
      <c r="I127" s="448">
        <f t="shared" si="67"/>
        <v>354959.51162890857</v>
      </c>
      <c r="J127" s="53">
        <f t="shared" si="44"/>
        <v>0</v>
      </c>
      <c r="K127" s="53"/>
      <c r="L127" s="112"/>
      <c r="M127" s="53">
        <f t="shared" si="37"/>
        <v>0</v>
      </c>
      <c r="N127" s="112"/>
      <c r="O127" s="53">
        <f t="shared" si="38"/>
        <v>0</v>
      </c>
      <c r="P127" s="53">
        <f t="shared" si="39"/>
        <v>0</v>
      </c>
      <c r="Q127" s="1"/>
      <c r="R127" s="1"/>
      <c r="S127" s="1"/>
      <c r="T127" s="1"/>
      <c r="U127" s="1"/>
    </row>
    <row r="128" spans="2:21">
      <c r="B128" t="str">
        <f t="shared" si="40"/>
        <v/>
      </c>
      <c r="C128" s="49">
        <f>IF(D94="","-",+C127+1)</f>
        <v>2041</v>
      </c>
      <c r="D128" s="11">
        <f>IF(F127+SUM(E$100:E127)=D$93,F127,D$93-SUM(E$100:E127))</f>
        <v>1040030.0029428966</v>
      </c>
      <c r="E128" s="447">
        <f t="shared" si="63"/>
        <v>225322.15468750001</v>
      </c>
      <c r="F128" s="54">
        <f t="shared" si="64"/>
        <v>814707.84825539659</v>
      </c>
      <c r="G128" s="54">
        <f t="shared" si="65"/>
        <v>927368.92559914663</v>
      </c>
      <c r="H128" s="459">
        <f t="shared" si="66"/>
        <v>329618.66437713068</v>
      </c>
      <c r="I128" s="448">
        <f t="shared" si="67"/>
        <v>329618.66437713068</v>
      </c>
      <c r="J128" s="53">
        <f t="shared" si="44"/>
        <v>0</v>
      </c>
      <c r="K128" s="53"/>
      <c r="L128" s="112"/>
      <c r="M128" s="53">
        <f t="shared" si="37"/>
        <v>0</v>
      </c>
      <c r="N128" s="112"/>
      <c r="O128" s="53">
        <f t="shared" si="38"/>
        <v>0</v>
      </c>
      <c r="P128" s="53">
        <f t="shared" si="39"/>
        <v>0</v>
      </c>
      <c r="Q128" s="1"/>
      <c r="R128" s="1"/>
      <c r="S128" s="1"/>
      <c r="T128" s="1"/>
      <c r="U128" s="1"/>
    </row>
    <row r="129" spans="2:21">
      <c r="B129" t="str">
        <f t="shared" si="40"/>
        <v/>
      </c>
      <c r="C129" s="49">
        <f>IF(D94="","-",+C128+1)</f>
        <v>2042</v>
      </c>
      <c r="D129" s="11">
        <f>IF(F128+SUM(E$100:E128)=D$93,F128,D$93-SUM(E$100:E128))</f>
        <v>814707.84825539659</v>
      </c>
      <c r="E129" s="447">
        <f t="shared" si="63"/>
        <v>225322.15468750001</v>
      </c>
      <c r="F129" s="54">
        <f t="shared" si="64"/>
        <v>589385.69356789661</v>
      </c>
      <c r="G129" s="54">
        <f t="shared" si="65"/>
        <v>702046.77091164654</v>
      </c>
      <c r="H129" s="459">
        <f t="shared" si="66"/>
        <v>304277.81712535286</v>
      </c>
      <c r="I129" s="448">
        <f t="shared" si="67"/>
        <v>304277.81712535286</v>
      </c>
      <c r="J129" s="53">
        <f t="shared" si="44"/>
        <v>0</v>
      </c>
      <c r="K129" s="53"/>
      <c r="L129" s="112"/>
      <c r="M129" s="53">
        <f t="shared" si="37"/>
        <v>0</v>
      </c>
      <c r="N129" s="112"/>
      <c r="O129" s="53">
        <f t="shared" si="38"/>
        <v>0</v>
      </c>
      <c r="P129" s="53">
        <f t="shared" si="39"/>
        <v>0</v>
      </c>
      <c r="Q129" s="1"/>
      <c r="R129" s="1"/>
      <c r="S129" s="1"/>
      <c r="T129" s="1"/>
      <c r="U129" s="1"/>
    </row>
    <row r="130" spans="2:21">
      <c r="B130" t="str">
        <f t="shared" si="40"/>
        <v/>
      </c>
      <c r="C130" s="49">
        <f>IF(D94="","-",+C129+1)</f>
        <v>2043</v>
      </c>
      <c r="D130" s="11">
        <f>IF(F129+SUM(E$100:E129)=D$93,F129,D$93-SUM(E$100:E129))</f>
        <v>589385.69356789661</v>
      </c>
      <c r="E130" s="447">
        <f t="shared" si="63"/>
        <v>225322.15468750001</v>
      </c>
      <c r="F130" s="54">
        <f t="shared" si="64"/>
        <v>364063.53888039663</v>
      </c>
      <c r="G130" s="54">
        <f t="shared" si="65"/>
        <v>476724.61622414662</v>
      </c>
      <c r="H130" s="459">
        <f t="shared" si="66"/>
        <v>278936.96987357503</v>
      </c>
      <c r="I130" s="448">
        <f t="shared" si="67"/>
        <v>278936.96987357503</v>
      </c>
      <c r="J130" s="53">
        <f t="shared" si="44"/>
        <v>0</v>
      </c>
      <c r="K130" s="53"/>
      <c r="L130" s="112"/>
      <c r="M130" s="53">
        <f t="shared" si="37"/>
        <v>0</v>
      </c>
      <c r="N130" s="112"/>
      <c r="O130" s="53">
        <f t="shared" si="38"/>
        <v>0</v>
      </c>
      <c r="P130" s="53">
        <f t="shared" si="39"/>
        <v>0</v>
      </c>
      <c r="Q130" s="1"/>
      <c r="R130" s="1"/>
      <c r="S130" s="1"/>
      <c r="T130" s="1"/>
      <c r="U130" s="1"/>
    </row>
    <row r="131" spans="2:21">
      <c r="B131" t="str">
        <f t="shared" si="40"/>
        <v/>
      </c>
      <c r="C131" s="49">
        <f>IF(D94="","-",+C130+1)</f>
        <v>2044</v>
      </c>
      <c r="D131" s="11">
        <f>IF(F130+SUM(E$100:E130)=D$93,F130,D$93-SUM(E$100:E130))</f>
        <v>364063.53888039663</v>
      </c>
      <c r="E131" s="447">
        <f t="shared" si="63"/>
        <v>225322.15468750001</v>
      </c>
      <c r="F131" s="54">
        <f t="shared" si="64"/>
        <v>138741.38419289663</v>
      </c>
      <c r="G131" s="54">
        <f t="shared" si="65"/>
        <v>251402.46153664665</v>
      </c>
      <c r="H131" s="459">
        <f t="shared" si="66"/>
        <v>253596.12262179717</v>
      </c>
      <c r="I131" s="448">
        <f t="shared" si="67"/>
        <v>253596.12262179717</v>
      </c>
      <c r="J131" s="53">
        <f t="shared" si="44"/>
        <v>0</v>
      </c>
      <c r="K131" s="53"/>
      <c r="L131" s="112"/>
      <c r="M131" s="53">
        <f t="shared" si="37"/>
        <v>0</v>
      </c>
      <c r="N131" s="112"/>
      <c r="O131" s="53">
        <f t="shared" si="38"/>
        <v>0</v>
      </c>
      <c r="P131" s="53">
        <f t="shared" si="39"/>
        <v>0</v>
      </c>
      <c r="Q131" s="1"/>
      <c r="R131" s="1"/>
      <c r="S131" s="1"/>
      <c r="T131" s="1"/>
      <c r="U131" s="1"/>
    </row>
    <row r="132" spans="2:21">
      <c r="B132" t="str">
        <f t="shared" si="40"/>
        <v/>
      </c>
      <c r="C132" s="49">
        <f>IF(D94="","-",+C131+1)</f>
        <v>2045</v>
      </c>
      <c r="D132" s="11">
        <f>IF(F131+SUM(E$100:E131)=D$93,F131,D$93-SUM(E$100:E131))</f>
        <v>138741.38419289663</v>
      </c>
      <c r="E132" s="447">
        <f t="shared" si="63"/>
        <v>138741.38419289663</v>
      </c>
      <c r="F132" s="54">
        <f t="shared" si="64"/>
        <v>0</v>
      </c>
      <c r="G132" s="54">
        <f t="shared" si="65"/>
        <v>69370.692096448314</v>
      </c>
      <c r="H132" s="459">
        <f t="shared" si="66"/>
        <v>146543.15634710074</v>
      </c>
      <c r="I132" s="448">
        <f t="shared" si="67"/>
        <v>146543.15634710074</v>
      </c>
      <c r="J132" s="53">
        <f t="shared" si="44"/>
        <v>0</v>
      </c>
      <c r="K132" s="53"/>
      <c r="L132" s="112"/>
      <c r="M132" s="53">
        <f t="shared" ref="M132:M155" si="68">IF(L542&lt;&gt;0,+H542-L542,0)</f>
        <v>0</v>
      </c>
      <c r="N132" s="112"/>
      <c r="O132" s="53">
        <f t="shared" ref="O132:O155" si="69">IF(N542&lt;&gt;0,+I542-N542,0)</f>
        <v>0</v>
      </c>
      <c r="P132" s="53">
        <f t="shared" ref="P132:P155" si="70">+O542-M542</f>
        <v>0</v>
      </c>
      <c r="Q132" s="1"/>
      <c r="R132" s="1"/>
      <c r="S132" s="1"/>
      <c r="T132" s="1"/>
      <c r="U132" s="1"/>
    </row>
    <row r="133" spans="2:21">
      <c r="B133" t="str">
        <f t="shared" si="40"/>
        <v/>
      </c>
      <c r="C133" s="49">
        <f>IF(D94="","-",+C132+1)</f>
        <v>2046</v>
      </c>
      <c r="D133" s="11">
        <f>IF(F132+SUM(E$100:E132)=D$93,F132,D$93-SUM(E$100:E132))</f>
        <v>0</v>
      </c>
      <c r="E133" s="447">
        <f t="shared" si="63"/>
        <v>0</v>
      </c>
      <c r="F133" s="54">
        <f t="shared" si="64"/>
        <v>0</v>
      </c>
      <c r="G133" s="54">
        <f t="shared" si="65"/>
        <v>0</v>
      </c>
      <c r="H133" s="459">
        <f t="shared" si="66"/>
        <v>0</v>
      </c>
      <c r="I133" s="448">
        <f t="shared" si="67"/>
        <v>0</v>
      </c>
      <c r="J133" s="53">
        <f t="shared" si="44"/>
        <v>0</v>
      </c>
      <c r="K133" s="53"/>
      <c r="L133" s="112"/>
      <c r="M133" s="53">
        <f t="shared" si="68"/>
        <v>0</v>
      </c>
      <c r="N133" s="112"/>
      <c r="O133" s="53">
        <f t="shared" si="69"/>
        <v>0</v>
      </c>
      <c r="P133" s="53">
        <f t="shared" si="70"/>
        <v>0</v>
      </c>
      <c r="Q133" s="1"/>
      <c r="R133" s="1"/>
      <c r="S133" s="1"/>
      <c r="T133" s="1"/>
      <c r="U133" s="1"/>
    </row>
    <row r="134" spans="2:21">
      <c r="B134" t="str">
        <f t="shared" si="40"/>
        <v/>
      </c>
      <c r="C134" s="49">
        <f>IF(D94="","-",+C133+1)</f>
        <v>2047</v>
      </c>
      <c r="D134" s="11">
        <f>IF(F133+SUM(E$100:E133)=D$93,F133,D$93-SUM(E$100:E133))</f>
        <v>0</v>
      </c>
      <c r="E134" s="447">
        <f t="shared" si="63"/>
        <v>0</v>
      </c>
      <c r="F134" s="54">
        <f t="shared" si="64"/>
        <v>0</v>
      </c>
      <c r="G134" s="54">
        <f t="shared" si="65"/>
        <v>0</v>
      </c>
      <c r="H134" s="459">
        <f t="shared" si="66"/>
        <v>0</v>
      </c>
      <c r="I134" s="448">
        <f t="shared" si="67"/>
        <v>0</v>
      </c>
      <c r="J134" s="53">
        <f t="shared" si="44"/>
        <v>0</v>
      </c>
      <c r="K134" s="53"/>
      <c r="L134" s="112"/>
      <c r="M134" s="53">
        <f t="shared" si="68"/>
        <v>0</v>
      </c>
      <c r="N134" s="112"/>
      <c r="O134" s="53">
        <f t="shared" si="69"/>
        <v>0</v>
      </c>
      <c r="P134" s="53">
        <f t="shared" si="70"/>
        <v>0</v>
      </c>
      <c r="Q134" s="1"/>
      <c r="R134" s="1"/>
      <c r="S134" s="1"/>
      <c r="T134" s="1"/>
      <c r="U134" s="1"/>
    </row>
    <row r="135" spans="2:21">
      <c r="B135" t="str">
        <f t="shared" si="40"/>
        <v/>
      </c>
      <c r="C135" s="49">
        <f>IF(D94="","-",+C134+1)</f>
        <v>2048</v>
      </c>
      <c r="D135" s="11">
        <f>IF(F134+SUM(E$100:E134)=D$93,F134,D$93-SUM(E$100:E134))</f>
        <v>0</v>
      </c>
      <c r="E135" s="447">
        <f t="shared" si="63"/>
        <v>0</v>
      </c>
      <c r="F135" s="54">
        <f t="shared" si="64"/>
        <v>0</v>
      </c>
      <c r="G135" s="54">
        <f t="shared" si="65"/>
        <v>0</v>
      </c>
      <c r="H135" s="459">
        <f t="shared" si="66"/>
        <v>0</v>
      </c>
      <c r="I135" s="448">
        <f t="shared" si="67"/>
        <v>0</v>
      </c>
      <c r="J135" s="53">
        <f t="shared" si="44"/>
        <v>0</v>
      </c>
      <c r="K135" s="53"/>
      <c r="L135" s="112"/>
      <c r="M135" s="53">
        <f t="shared" si="68"/>
        <v>0</v>
      </c>
      <c r="N135" s="112"/>
      <c r="O135" s="53">
        <f t="shared" si="69"/>
        <v>0</v>
      </c>
      <c r="P135" s="53">
        <f t="shared" si="70"/>
        <v>0</v>
      </c>
      <c r="Q135" s="1"/>
      <c r="R135" s="1"/>
      <c r="S135" s="1"/>
      <c r="T135" s="1"/>
      <c r="U135" s="1"/>
    </row>
    <row r="136" spans="2:21">
      <c r="B136" t="str">
        <f t="shared" si="40"/>
        <v/>
      </c>
      <c r="C136" s="49">
        <f>IF(D94="","-",+C135+1)</f>
        <v>2049</v>
      </c>
      <c r="D136" s="11">
        <f>IF(F135+SUM(E$100:E135)=D$93,F135,D$93-SUM(E$100:E135))</f>
        <v>0</v>
      </c>
      <c r="E136" s="447">
        <f t="shared" si="63"/>
        <v>0</v>
      </c>
      <c r="F136" s="54">
        <f t="shared" si="64"/>
        <v>0</v>
      </c>
      <c r="G136" s="54">
        <f t="shared" si="65"/>
        <v>0</v>
      </c>
      <c r="H136" s="459">
        <f t="shared" si="66"/>
        <v>0</v>
      </c>
      <c r="I136" s="448">
        <f t="shared" si="67"/>
        <v>0</v>
      </c>
      <c r="J136" s="53">
        <f t="shared" si="44"/>
        <v>0</v>
      </c>
      <c r="K136" s="53"/>
      <c r="L136" s="112"/>
      <c r="M136" s="53">
        <f t="shared" si="68"/>
        <v>0</v>
      </c>
      <c r="N136" s="112"/>
      <c r="O136" s="53">
        <f t="shared" si="69"/>
        <v>0</v>
      </c>
      <c r="P136" s="53">
        <f t="shared" si="70"/>
        <v>0</v>
      </c>
      <c r="Q136" s="1"/>
      <c r="R136" s="1"/>
      <c r="S136" s="1"/>
      <c r="T136" s="1"/>
      <c r="U136" s="1"/>
    </row>
    <row r="137" spans="2:21">
      <c r="B137" t="str">
        <f t="shared" si="40"/>
        <v/>
      </c>
      <c r="C137" s="49">
        <f>IF(D94="","-",+C136+1)</f>
        <v>2050</v>
      </c>
      <c r="D137" s="11">
        <f>IF(F136+SUM(E$100:E136)=D$93,F136,D$93-SUM(E$100:E136))</f>
        <v>0</v>
      </c>
      <c r="E137" s="447">
        <f t="shared" si="63"/>
        <v>0</v>
      </c>
      <c r="F137" s="54">
        <f t="shared" si="64"/>
        <v>0</v>
      </c>
      <c r="G137" s="54">
        <f t="shared" si="65"/>
        <v>0</v>
      </c>
      <c r="H137" s="459">
        <f t="shared" si="66"/>
        <v>0</v>
      </c>
      <c r="I137" s="448">
        <f t="shared" si="67"/>
        <v>0</v>
      </c>
      <c r="J137" s="53">
        <f t="shared" si="44"/>
        <v>0</v>
      </c>
      <c r="K137" s="53"/>
      <c r="L137" s="112"/>
      <c r="M137" s="53">
        <f t="shared" si="68"/>
        <v>0</v>
      </c>
      <c r="N137" s="112"/>
      <c r="O137" s="53">
        <f t="shared" si="69"/>
        <v>0</v>
      </c>
      <c r="P137" s="53">
        <f t="shared" si="70"/>
        <v>0</v>
      </c>
      <c r="Q137" s="1"/>
      <c r="R137" s="1"/>
      <c r="S137" s="1"/>
      <c r="T137" s="1"/>
      <c r="U137" s="1"/>
    </row>
    <row r="138" spans="2:21">
      <c r="B138" t="str">
        <f t="shared" si="40"/>
        <v/>
      </c>
      <c r="C138" s="49">
        <f>IF(D94="","-",+C137+1)</f>
        <v>2051</v>
      </c>
      <c r="D138" s="11">
        <f>IF(F137+SUM(E$100:E137)=D$93,F137,D$93-SUM(E$100:E137))</f>
        <v>0</v>
      </c>
      <c r="E138" s="447">
        <f t="shared" si="63"/>
        <v>0</v>
      </c>
      <c r="F138" s="54">
        <f t="shared" si="64"/>
        <v>0</v>
      </c>
      <c r="G138" s="54">
        <f t="shared" si="65"/>
        <v>0</v>
      </c>
      <c r="H138" s="459">
        <f t="shared" si="66"/>
        <v>0</v>
      </c>
      <c r="I138" s="448">
        <f t="shared" si="67"/>
        <v>0</v>
      </c>
      <c r="J138" s="53">
        <f t="shared" si="44"/>
        <v>0</v>
      </c>
      <c r="K138" s="53"/>
      <c r="L138" s="112"/>
      <c r="M138" s="53">
        <f t="shared" si="68"/>
        <v>0</v>
      </c>
      <c r="N138" s="112"/>
      <c r="O138" s="53">
        <f t="shared" si="69"/>
        <v>0</v>
      </c>
      <c r="P138" s="53">
        <f t="shared" si="70"/>
        <v>0</v>
      </c>
      <c r="Q138" s="1"/>
      <c r="R138" s="1"/>
      <c r="S138" s="1"/>
      <c r="T138" s="1"/>
      <c r="U138" s="1"/>
    </row>
    <row r="139" spans="2:21">
      <c r="B139" t="str">
        <f t="shared" si="40"/>
        <v/>
      </c>
      <c r="C139" s="49">
        <f>IF(D94="","-",+C138+1)</f>
        <v>2052</v>
      </c>
      <c r="D139" s="11">
        <f>IF(F138+SUM(E$100:E138)=D$93,F138,D$93-SUM(E$100:E138))</f>
        <v>0</v>
      </c>
      <c r="E139" s="447">
        <f t="shared" si="63"/>
        <v>0</v>
      </c>
      <c r="F139" s="54">
        <f t="shared" si="64"/>
        <v>0</v>
      </c>
      <c r="G139" s="54">
        <f t="shared" si="65"/>
        <v>0</v>
      </c>
      <c r="H139" s="459">
        <f t="shared" si="66"/>
        <v>0</v>
      </c>
      <c r="I139" s="448">
        <f t="shared" si="67"/>
        <v>0</v>
      </c>
      <c r="J139" s="53">
        <f t="shared" si="44"/>
        <v>0</v>
      </c>
      <c r="K139" s="53"/>
      <c r="L139" s="112"/>
      <c r="M139" s="53">
        <f t="shared" si="68"/>
        <v>0</v>
      </c>
      <c r="N139" s="112"/>
      <c r="O139" s="53">
        <f t="shared" si="69"/>
        <v>0</v>
      </c>
      <c r="P139" s="53">
        <f t="shared" si="70"/>
        <v>0</v>
      </c>
      <c r="Q139" s="1"/>
      <c r="R139" s="1"/>
      <c r="S139" s="1"/>
      <c r="T139" s="1"/>
      <c r="U139" s="1"/>
    </row>
    <row r="140" spans="2:21">
      <c r="B140" t="str">
        <f t="shared" si="40"/>
        <v/>
      </c>
      <c r="C140" s="49">
        <f>IF(D94="","-",+C139+1)</f>
        <v>2053</v>
      </c>
      <c r="D140" s="11">
        <f>IF(F139+SUM(E$100:E139)=D$93,F139,D$93-SUM(E$100:E139))</f>
        <v>0</v>
      </c>
      <c r="E140" s="447">
        <f t="shared" si="63"/>
        <v>0</v>
      </c>
      <c r="F140" s="54">
        <f t="shared" si="64"/>
        <v>0</v>
      </c>
      <c r="G140" s="54">
        <f t="shared" si="65"/>
        <v>0</v>
      </c>
      <c r="H140" s="459">
        <f t="shared" si="66"/>
        <v>0</v>
      </c>
      <c r="I140" s="448">
        <f t="shared" si="67"/>
        <v>0</v>
      </c>
      <c r="J140" s="53">
        <f t="shared" si="44"/>
        <v>0</v>
      </c>
      <c r="K140" s="53"/>
      <c r="L140" s="112"/>
      <c r="M140" s="53">
        <f t="shared" si="68"/>
        <v>0</v>
      </c>
      <c r="N140" s="112"/>
      <c r="O140" s="53">
        <f t="shared" si="69"/>
        <v>0</v>
      </c>
      <c r="P140" s="53">
        <f t="shared" si="70"/>
        <v>0</v>
      </c>
      <c r="Q140" s="1"/>
      <c r="R140" s="1"/>
      <c r="S140" s="1"/>
      <c r="T140" s="1"/>
      <c r="U140" s="1"/>
    </row>
    <row r="141" spans="2:21">
      <c r="B141" t="str">
        <f t="shared" si="40"/>
        <v/>
      </c>
      <c r="C141" s="49">
        <f>IF(D94="","-",+C140+1)</f>
        <v>2054</v>
      </c>
      <c r="D141" s="11">
        <f>IF(F140+SUM(E$100:E140)=D$93,F140,D$93-SUM(E$100:E140))</f>
        <v>0</v>
      </c>
      <c r="E141" s="447">
        <f t="shared" si="63"/>
        <v>0</v>
      </c>
      <c r="F141" s="54">
        <f t="shared" si="64"/>
        <v>0</v>
      </c>
      <c r="G141" s="54">
        <f t="shared" si="65"/>
        <v>0</v>
      </c>
      <c r="H141" s="459">
        <f t="shared" si="66"/>
        <v>0</v>
      </c>
      <c r="I141" s="448">
        <f t="shared" si="67"/>
        <v>0</v>
      </c>
      <c r="J141" s="53">
        <f t="shared" si="44"/>
        <v>0</v>
      </c>
      <c r="K141" s="53"/>
      <c r="L141" s="112"/>
      <c r="M141" s="53">
        <f t="shared" si="68"/>
        <v>0</v>
      </c>
      <c r="N141" s="112"/>
      <c r="O141" s="53">
        <f t="shared" si="69"/>
        <v>0</v>
      </c>
      <c r="P141" s="53">
        <f t="shared" si="70"/>
        <v>0</v>
      </c>
      <c r="Q141" s="1"/>
      <c r="R141" s="1"/>
      <c r="S141" s="1"/>
      <c r="T141" s="1"/>
      <c r="U141" s="1"/>
    </row>
    <row r="142" spans="2:21">
      <c r="B142" t="str">
        <f t="shared" si="40"/>
        <v/>
      </c>
      <c r="C142" s="49">
        <f>IF(D94="","-",+C141+1)</f>
        <v>2055</v>
      </c>
      <c r="D142" s="11">
        <f>IF(F141+SUM(E$100:E141)=D$93,F141,D$93-SUM(E$100:E141))</f>
        <v>0</v>
      </c>
      <c r="E142" s="447">
        <f t="shared" si="63"/>
        <v>0</v>
      </c>
      <c r="F142" s="54">
        <f t="shared" si="64"/>
        <v>0</v>
      </c>
      <c r="G142" s="54">
        <f t="shared" si="65"/>
        <v>0</v>
      </c>
      <c r="H142" s="459">
        <f t="shared" si="66"/>
        <v>0</v>
      </c>
      <c r="I142" s="448">
        <f t="shared" si="67"/>
        <v>0</v>
      </c>
      <c r="J142" s="53">
        <f t="shared" si="44"/>
        <v>0</v>
      </c>
      <c r="K142" s="53"/>
      <c r="L142" s="112"/>
      <c r="M142" s="53">
        <f t="shared" si="68"/>
        <v>0</v>
      </c>
      <c r="N142" s="112"/>
      <c r="O142" s="53">
        <f t="shared" si="69"/>
        <v>0</v>
      </c>
      <c r="P142" s="53">
        <f t="shared" si="70"/>
        <v>0</v>
      </c>
      <c r="Q142" s="1"/>
      <c r="R142" s="1"/>
      <c r="S142" s="1"/>
      <c r="T142" s="1"/>
      <c r="U142" s="1"/>
    </row>
    <row r="143" spans="2:21">
      <c r="B143" t="str">
        <f t="shared" si="40"/>
        <v/>
      </c>
      <c r="C143" s="49">
        <f>IF(D94="","-",+C142+1)</f>
        <v>2056</v>
      </c>
      <c r="D143" s="11">
        <f>IF(F142+SUM(E$100:E142)=D$93,F142,D$93-SUM(E$100:E142))</f>
        <v>0</v>
      </c>
      <c r="E143" s="447">
        <f t="shared" si="63"/>
        <v>0</v>
      </c>
      <c r="F143" s="54">
        <f t="shared" si="64"/>
        <v>0</v>
      </c>
      <c r="G143" s="54">
        <f t="shared" si="65"/>
        <v>0</v>
      </c>
      <c r="H143" s="459">
        <f t="shared" si="66"/>
        <v>0</v>
      </c>
      <c r="I143" s="448">
        <f t="shared" si="67"/>
        <v>0</v>
      </c>
      <c r="J143" s="53">
        <f t="shared" si="44"/>
        <v>0</v>
      </c>
      <c r="K143" s="53"/>
      <c r="L143" s="112"/>
      <c r="M143" s="53">
        <f t="shared" si="68"/>
        <v>0</v>
      </c>
      <c r="N143" s="112"/>
      <c r="O143" s="53">
        <f t="shared" si="69"/>
        <v>0</v>
      </c>
      <c r="P143" s="53">
        <f t="shared" si="70"/>
        <v>0</v>
      </c>
      <c r="Q143" s="1"/>
      <c r="R143" s="1"/>
      <c r="S143" s="1"/>
      <c r="T143" s="1"/>
      <c r="U143" s="1"/>
    </row>
    <row r="144" spans="2:21">
      <c r="B144" t="str">
        <f t="shared" si="40"/>
        <v/>
      </c>
      <c r="C144" s="49">
        <f>IF(D94="","-",+C143+1)</f>
        <v>2057</v>
      </c>
      <c r="D144" s="11">
        <f>IF(F143+SUM(E$100:E143)=D$93,F143,D$93-SUM(E$100:E143))</f>
        <v>0</v>
      </c>
      <c r="E144" s="447">
        <f t="shared" si="63"/>
        <v>0</v>
      </c>
      <c r="F144" s="54">
        <f t="shared" si="64"/>
        <v>0</v>
      </c>
      <c r="G144" s="54">
        <f t="shared" si="65"/>
        <v>0</v>
      </c>
      <c r="H144" s="459">
        <f t="shared" si="66"/>
        <v>0</v>
      </c>
      <c r="I144" s="448">
        <f t="shared" si="67"/>
        <v>0</v>
      </c>
      <c r="J144" s="53">
        <f t="shared" si="44"/>
        <v>0</v>
      </c>
      <c r="K144" s="53"/>
      <c r="L144" s="112"/>
      <c r="M144" s="53">
        <f t="shared" si="68"/>
        <v>0</v>
      </c>
      <c r="N144" s="112"/>
      <c r="O144" s="53">
        <f t="shared" si="69"/>
        <v>0</v>
      </c>
      <c r="P144" s="53">
        <f t="shared" si="70"/>
        <v>0</v>
      </c>
      <c r="Q144" s="1"/>
      <c r="R144" s="1"/>
      <c r="S144" s="1"/>
      <c r="T144" s="1"/>
      <c r="U144" s="1"/>
    </row>
    <row r="145" spans="2:21">
      <c r="B145" t="str">
        <f t="shared" si="40"/>
        <v/>
      </c>
      <c r="C145" s="49">
        <f>IF(D94="","-",+C144+1)</f>
        <v>2058</v>
      </c>
      <c r="D145" s="11">
        <f>IF(F144+SUM(E$100:E144)=D$93,F144,D$93-SUM(E$100:E144))</f>
        <v>0</v>
      </c>
      <c r="E145" s="447">
        <f t="shared" si="63"/>
        <v>0</v>
      </c>
      <c r="F145" s="54">
        <f t="shared" si="64"/>
        <v>0</v>
      </c>
      <c r="G145" s="54">
        <f t="shared" si="65"/>
        <v>0</v>
      </c>
      <c r="H145" s="459">
        <f t="shared" si="66"/>
        <v>0</v>
      </c>
      <c r="I145" s="448">
        <f t="shared" si="67"/>
        <v>0</v>
      </c>
      <c r="J145" s="53">
        <f t="shared" si="44"/>
        <v>0</v>
      </c>
      <c r="K145" s="53"/>
      <c r="L145" s="112"/>
      <c r="M145" s="53">
        <f t="shared" si="68"/>
        <v>0</v>
      </c>
      <c r="N145" s="112"/>
      <c r="O145" s="53">
        <f t="shared" si="69"/>
        <v>0</v>
      </c>
      <c r="P145" s="53">
        <f t="shared" si="70"/>
        <v>0</v>
      </c>
      <c r="Q145" s="1"/>
      <c r="R145" s="1"/>
      <c r="S145" s="1"/>
      <c r="T145" s="1"/>
      <c r="U145" s="1"/>
    </row>
    <row r="146" spans="2:21">
      <c r="B146" t="str">
        <f t="shared" si="40"/>
        <v/>
      </c>
      <c r="C146" s="49">
        <f>IF(D94="","-",+C145+1)</f>
        <v>2059</v>
      </c>
      <c r="D146" s="11">
        <f>IF(F145+SUM(E$100:E145)=D$93,F145,D$93-SUM(E$100:E145))</f>
        <v>0</v>
      </c>
      <c r="E146" s="447">
        <f t="shared" si="63"/>
        <v>0</v>
      </c>
      <c r="F146" s="54">
        <f t="shared" si="64"/>
        <v>0</v>
      </c>
      <c r="G146" s="54">
        <f t="shared" si="65"/>
        <v>0</v>
      </c>
      <c r="H146" s="459">
        <f t="shared" si="66"/>
        <v>0</v>
      </c>
      <c r="I146" s="448">
        <f t="shared" si="67"/>
        <v>0</v>
      </c>
      <c r="J146" s="53">
        <f t="shared" si="44"/>
        <v>0</v>
      </c>
      <c r="K146" s="53"/>
      <c r="L146" s="112"/>
      <c r="M146" s="53">
        <f t="shared" si="68"/>
        <v>0</v>
      </c>
      <c r="N146" s="112"/>
      <c r="O146" s="53">
        <f t="shared" si="69"/>
        <v>0</v>
      </c>
      <c r="P146" s="53">
        <f t="shared" si="70"/>
        <v>0</v>
      </c>
      <c r="Q146" s="1"/>
      <c r="R146" s="1"/>
      <c r="S146" s="1"/>
      <c r="T146" s="1"/>
      <c r="U146" s="1"/>
    </row>
    <row r="147" spans="2:21">
      <c r="B147" t="str">
        <f t="shared" si="40"/>
        <v/>
      </c>
      <c r="C147" s="49">
        <f>IF(D94="","-",+C146+1)</f>
        <v>2060</v>
      </c>
      <c r="D147" s="11">
        <f>IF(F146+SUM(E$100:E146)=D$93,F146,D$93-SUM(E$100:E146))</f>
        <v>0</v>
      </c>
      <c r="E147" s="447">
        <f t="shared" si="63"/>
        <v>0</v>
      </c>
      <c r="F147" s="54">
        <f t="shared" si="64"/>
        <v>0</v>
      </c>
      <c r="G147" s="54">
        <f t="shared" si="65"/>
        <v>0</v>
      </c>
      <c r="H147" s="459">
        <f t="shared" si="66"/>
        <v>0</v>
      </c>
      <c r="I147" s="448">
        <f t="shared" si="67"/>
        <v>0</v>
      </c>
      <c r="J147" s="53">
        <f t="shared" si="44"/>
        <v>0</v>
      </c>
      <c r="K147" s="53"/>
      <c r="L147" s="112"/>
      <c r="M147" s="53">
        <f t="shared" si="68"/>
        <v>0</v>
      </c>
      <c r="N147" s="112"/>
      <c r="O147" s="53">
        <f t="shared" si="69"/>
        <v>0</v>
      </c>
      <c r="P147" s="53">
        <f t="shared" si="70"/>
        <v>0</v>
      </c>
      <c r="Q147" s="1"/>
      <c r="R147" s="1"/>
      <c r="S147" s="1"/>
      <c r="T147" s="1"/>
      <c r="U147" s="1"/>
    </row>
    <row r="148" spans="2:21">
      <c r="B148" t="str">
        <f t="shared" si="40"/>
        <v/>
      </c>
      <c r="C148" s="49">
        <f>IF(D94="","-",+C147+1)</f>
        <v>2061</v>
      </c>
      <c r="D148" s="11">
        <f>IF(F147+SUM(E$100:E147)=D$93,F147,D$93-SUM(E$100:E147))</f>
        <v>0</v>
      </c>
      <c r="E148" s="447">
        <f t="shared" si="63"/>
        <v>0</v>
      </c>
      <c r="F148" s="54">
        <f t="shared" si="64"/>
        <v>0</v>
      </c>
      <c r="G148" s="54">
        <f t="shared" si="65"/>
        <v>0</v>
      </c>
      <c r="H148" s="459">
        <f t="shared" si="66"/>
        <v>0</v>
      </c>
      <c r="I148" s="448">
        <f t="shared" si="67"/>
        <v>0</v>
      </c>
      <c r="J148" s="53">
        <f t="shared" si="44"/>
        <v>0</v>
      </c>
      <c r="K148" s="53"/>
      <c r="L148" s="112"/>
      <c r="M148" s="53">
        <f t="shared" si="68"/>
        <v>0</v>
      </c>
      <c r="N148" s="112"/>
      <c r="O148" s="53">
        <f t="shared" si="69"/>
        <v>0</v>
      </c>
      <c r="P148" s="53">
        <f t="shared" si="70"/>
        <v>0</v>
      </c>
      <c r="Q148" s="1"/>
      <c r="R148" s="1"/>
      <c r="S148" s="1"/>
      <c r="T148" s="1"/>
      <c r="U148" s="1"/>
    </row>
    <row r="149" spans="2:21">
      <c r="B149" t="str">
        <f t="shared" si="40"/>
        <v/>
      </c>
      <c r="C149" s="49">
        <f>IF(D94="","-",+C148+1)</f>
        <v>2062</v>
      </c>
      <c r="D149" s="11">
        <f>IF(F148+SUM(E$100:E148)=D$93,F148,D$93-SUM(E$100:E148))</f>
        <v>0</v>
      </c>
      <c r="E149" s="447">
        <f t="shared" si="63"/>
        <v>0</v>
      </c>
      <c r="F149" s="54">
        <f t="shared" si="64"/>
        <v>0</v>
      </c>
      <c r="G149" s="54">
        <f t="shared" si="65"/>
        <v>0</v>
      </c>
      <c r="H149" s="459">
        <f t="shared" si="66"/>
        <v>0</v>
      </c>
      <c r="I149" s="448">
        <f t="shared" si="67"/>
        <v>0</v>
      </c>
      <c r="J149" s="53">
        <f t="shared" si="44"/>
        <v>0</v>
      </c>
      <c r="K149" s="53"/>
      <c r="L149" s="112"/>
      <c r="M149" s="53">
        <f t="shared" si="68"/>
        <v>0</v>
      </c>
      <c r="N149" s="112"/>
      <c r="O149" s="53">
        <f t="shared" si="69"/>
        <v>0</v>
      </c>
      <c r="P149" s="53">
        <f t="shared" si="70"/>
        <v>0</v>
      </c>
      <c r="Q149" s="1"/>
      <c r="R149" s="1"/>
      <c r="S149" s="1"/>
      <c r="T149" s="1"/>
      <c r="U149" s="1"/>
    </row>
    <row r="150" spans="2:21">
      <c r="B150" t="str">
        <f t="shared" si="40"/>
        <v/>
      </c>
      <c r="C150" s="49">
        <f>IF(D94="","-",+C149+1)</f>
        <v>2063</v>
      </c>
      <c r="D150" s="11">
        <f>IF(F149+SUM(E$100:E149)=D$93,F149,D$93-SUM(E$100:E149))</f>
        <v>0</v>
      </c>
      <c r="E150" s="447">
        <f t="shared" si="63"/>
        <v>0</v>
      </c>
      <c r="F150" s="54">
        <f t="shared" si="64"/>
        <v>0</v>
      </c>
      <c r="G150" s="54">
        <f t="shared" si="65"/>
        <v>0</v>
      </c>
      <c r="H150" s="459">
        <f t="shared" si="66"/>
        <v>0</v>
      </c>
      <c r="I150" s="448">
        <f t="shared" si="67"/>
        <v>0</v>
      </c>
      <c r="J150" s="53">
        <f t="shared" si="44"/>
        <v>0</v>
      </c>
      <c r="K150" s="53"/>
      <c r="L150" s="112"/>
      <c r="M150" s="53">
        <f t="shared" si="68"/>
        <v>0</v>
      </c>
      <c r="N150" s="112"/>
      <c r="O150" s="53">
        <f t="shared" si="69"/>
        <v>0</v>
      </c>
      <c r="P150" s="53">
        <f t="shared" si="70"/>
        <v>0</v>
      </c>
      <c r="Q150" s="1"/>
      <c r="R150" s="1"/>
      <c r="S150" s="1"/>
      <c r="T150" s="1"/>
      <c r="U150" s="1"/>
    </row>
    <row r="151" spans="2:21">
      <c r="B151" t="str">
        <f t="shared" si="40"/>
        <v/>
      </c>
      <c r="C151" s="49">
        <f>IF(D94="","-",+C150+1)</f>
        <v>2064</v>
      </c>
      <c r="D151" s="11">
        <f>IF(F150+SUM(E$100:E150)=D$93,F150,D$93-SUM(E$100:E150))</f>
        <v>0</v>
      </c>
      <c r="E151" s="447">
        <f t="shared" si="63"/>
        <v>0</v>
      </c>
      <c r="F151" s="54">
        <f t="shared" si="64"/>
        <v>0</v>
      </c>
      <c r="G151" s="54">
        <f t="shared" si="65"/>
        <v>0</v>
      </c>
      <c r="H151" s="459">
        <f t="shared" si="66"/>
        <v>0</v>
      </c>
      <c r="I151" s="448">
        <f t="shared" si="67"/>
        <v>0</v>
      </c>
      <c r="J151" s="53">
        <f t="shared" si="44"/>
        <v>0</v>
      </c>
      <c r="K151" s="53"/>
      <c r="L151" s="112"/>
      <c r="M151" s="53">
        <f t="shared" si="68"/>
        <v>0</v>
      </c>
      <c r="N151" s="112"/>
      <c r="O151" s="53">
        <f t="shared" si="69"/>
        <v>0</v>
      </c>
      <c r="P151" s="53">
        <f t="shared" si="70"/>
        <v>0</v>
      </c>
      <c r="Q151" s="1"/>
      <c r="R151" s="1"/>
      <c r="S151" s="1"/>
      <c r="T151" s="1"/>
      <c r="U151" s="1"/>
    </row>
    <row r="152" spans="2:21">
      <c r="B152" t="str">
        <f t="shared" si="40"/>
        <v/>
      </c>
      <c r="C152" s="49">
        <f>IF(D94="","-",+C151+1)</f>
        <v>2065</v>
      </c>
      <c r="D152" s="11">
        <f>IF(F151+SUM(E$100:E151)=D$93,F151,D$93-SUM(E$100:E151))</f>
        <v>0</v>
      </c>
      <c r="E152" s="447">
        <f t="shared" si="63"/>
        <v>0</v>
      </c>
      <c r="F152" s="54">
        <f t="shared" si="64"/>
        <v>0</v>
      </c>
      <c r="G152" s="54">
        <f t="shared" si="65"/>
        <v>0</v>
      </c>
      <c r="H152" s="459">
        <f t="shared" si="66"/>
        <v>0</v>
      </c>
      <c r="I152" s="448">
        <f t="shared" si="67"/>
        <v>0</v>
      </c>
      <c r="J152" s="53">
        <f t="shared" si="44"/>
        <v>0</v>
      </c>
      <c r="K152" s="53"/>
      <c r="L152" s="112"/>
      <c r="M152" s="53">
        <f t="shared" si="68"/>
        <v>0</v>
      </c>
      <c r="N152" s="112"/>
      <c r="O152" s="53">
        <f t="shared" si="69"/>
        <v>0</v>
      </c>
      <c r="P152" s="53">
        <f t="shared" si="70"/>
        <v>0</v>
      </c>
      <c r="Q152" s="1"/>
      <c r="R152" s="1"/>
      <c r="S152" s="1"/>
      <c r="T152" s="1"/>
      <c r="U152" s="1"/>
    </row>
    <row r="153" spans="2:21">
      <c r="B153" t="str">
        <f t="shared" si="40"/>
        <v/>
      </c>
      <c r="C153" s="49">
        <f>IF(D94="","-",+C152+1)</f>
        <v>2066</v>
      </c>
      <c r="D153" s="11">
        <f>IF(F152+SUM(E$100:E152)=D$93,F152,D$93-SUM(E$100:E152))</f>
        <v>0</v>
      </c>
      <c r="E153" s="447">
        <f t="shared" si="63"/>
        <v>0</v>
      </c>
      <c r="F153" s="54">
        <f t="shared" si="64"/>
        <v>0</v>
      </c>
      <c r="G153" s="54">
        <f t="shared" si="65"/>
        <v>0</v>
      </c>
      <c r="H153" s="459">
        <f t="shared" si="66"/>
        <v>0</v>
      </c>
      <c r="I153" s="448">
        <f t="shared" si="67"/>
        <v>0</v>
      </c>
      <c r="J153" s="53">
        <f t="shared" si="44"/>
        <v>0</v>
      </c>
      <c r="K153" s="53"/>
      <c r="L153" s="112"/>
      <c r="M153" s="53">
        <f t="shared" si="68"/>
        <v>0</v>
      </c>
      <c r="N153" s="112"/>
      <c r="O153" s="53">
        <f t="shared" si="69"/>
        <v>0</v>
      </c>
      <c r="P153" s="53">
        <f t="shared" si="70"/>
        <v>0</v>
      </c>
      <c r="Q153" s="1"/>
      <c r="R153" s="1"/>
      <c r="S153" s="1"/>
      <c r="T153" s="1"/>
      <c r="U153" s="1"/>
    </row>
    <row r="154" spans="2:21">
      <c r="B154" t="str">
        <f t="shared" si="40"/>
        <v/>
      </c>
      <c r="C154" s="49">
        <f>IF(D94="","-",+C153+1)</f>
        <v>2067</v>
      </c>
      <c r="D154" s="11">
        <f>IF(F153+SUM(E$100:E153)=D$93,F153,D$93-SUM(E$100:E153))</f>
        <v>0</v>
      </c>
      <c r="E154" s="447">
        <f t="shared" si="63"/>
        <v>0</v>
      </c>
      <c r="F154" s="54">
        <f t="shared" si="64"/>
        <v>0</v>
      </c>
      <c r="G154" s="54">
        <f t="shared" si="65"/>
        <v>0</v>
      </c>
      <c r="H154" s="459">
        <f t="shared" si="66"/>
        <v>0</v>
      </c>
      <c r="I154" s="448">
        <f t="shared" si="67"/>
        <v>0</v>
      </c>
      <c r="J154" s="53">
        <f t="shared" si="44"/>
        <v>0</v>
      </c>
      <c r="K154" s="53"/>
      <c r="L154" s="112"/>
      <c r="M154" s="53">
        <f t="shared" si="68"/>
        <v>0</v>
      </c>
      <c r="N154" s="112"/>
      <c r="O154" s="53">
        <f t="shared" si="69"/>
        <v>0</v>
      </c>
      <c r="P154" s="53">
        <f t="shared" si="70"/>
        <v>0</v>
      </c>
      <c r="Q154" s="1"/>
      <c r="R154" s="1"/>
      <c r="S154" s="1"/>
      <c r="T154" s="1"/>
      <c r="U154" s="1"/>
    </row>
    <row r="155" spans="2:21" ht="13.5" thickBot="1">
      <c r="B155" t="str">
        <f t="shared" si="40"/>
        <v/>
      </c>
      <c r="C155" s="58">
        <f>IF(D94="","-",+C154+1)</f>
        <v>2068</v>
      </c>
      <c r="D155" s="439">
        <f>IF(F154+SUM(E$100:E154)=D$93,F154,D$93-SUM(E$100:E154))</f>
        <v>0</v>
      </c>
      <c r="E155" s="449">
        <f t="shared" si="63"/>
        <v>0</v>
      </c>
      <c r="F155" s="59">
        <f t="shared" si="64"/>
        <v>0</v>
      </c>
      <c r="G155" s="59">
        <f t="shared" si="65"/>
        <v>0</v>
      </c>
      <c r="H155" s="459">
        <f t="shared" si="66"/>
        <v>0</v>
      </c>
      <c r="I155" s="450">
        <f t="shared" si="67"/>
        <v>0</v>
      </c>
      <c r="J155" s="63">
        <f t="shared" si="44"/>
        <v>0</v>
      </c>
      <c r="K155" s="53"/>
      <c r="L155" s="113"/>
      <c r="M155" s="63">
        <f t="shared" si="68"/>
        <v>0</v>
      </c>
      <c r="N155" s="113"/>
      <c r="O155" s="63">
        <f t="shared" si="69"/>
        <v>0</v>
      </c>
      <c r="P155" s="63">
        <f t="shared" si="70"/>
        <v>0</v>
      </c>
      <c r="Q155" s="1"/>
      <c r="R155" s="1"/>
      <c r="S155" s="1"/>
      <c r="T155" s="1"/>
      <c r="U155" s="1"/>
    </row>
    <row r="156" spans="2:21">
      <c r="C156" s="11" t="s">
        <v>75</v>
      </c>
      <c r="D156" s="242"/>
      <c r="E156" s="242">
        <f>SUM(E100:E155)</f>
        <v>7210308.9499999965</v>
      </c>
      <c r="F156" s="242"/>
      <c r="G156" s="242"/>
      <c r="H156" s="242">
        <f>SUM(H100:H155)</f>
        <v>19438513.888909958</v>
      </c>
      <c r="I156" s="242">
        <f>SUM(I100:I155)</f>
        <v>19438513.888909958</v>
      </c>
      <c r="J156" s="242">
        <f>SUM(J100:J155)</f>
        <v>0</v>
      </c>
      <c r="K156" s="242"/>
      <c r="L156" s="242"/>
      <c r="M156" s="242"/>
      <c r="N156" s="242"/>
      <c r="O156" s="242"/>
      <c r="P156" s="1"/>
      <c r="Q156" s="1"/>
      <c r="R156" s="1"/>
      <c r="S156" s="1"/>
      <c r="T156" s="1"/>
      <c r="U156" s="1"/>
    </row>
    <row r="157" spans="2:21">
      <c r="C157" t="s">
        <v>90</v>
      </c>
      <c r="D157" s="2"/>
      <c r="E157" s="1"/>
      <c r="F157" s="1"/>
      <c r="G157" s="1"/>
      <c r="H157" s="1"/>
      <c r="I157" s="260"/>
      <c r="J157" s="260"/>
      <c r="K157" s="242"/>
      <c r="L157" s="260"/>
      <c r="M157" s="260"/>
      <c r="N157" s="260"/>
      <c r="O157" s="260"/>
      <c r="P157" s="1"/>
      <c r="Q157" s="1"/>
      <c r="R157" s="1"/>
      <c r="S157" s="1"/>
      <c r="T157" s="1"/>
      <c r="U157" s="1"/>
    </row>
    <row r="158" spans="2:21">
      <c r="C158" s="83"/>
      <c r="D158" s="2"/>
      <c r="E158" s="1"/>
      <c r="F158" s="1"/>
      <c r="G158" s="1"/>
      <c r="H158" s="1"/>
      <c r="I158" s="260"/>
      <c r="J158" s="260"/>
      <c r="K158" s="242"/>
      <c r="L158" s="260"/>
      <c r="M158" s="260"/>
      <c r="N158" s="260"/>
      <c r="O158" s="260"/>
      <c r="P158" s="1"/>
      <c r="Q158" s="1"/>
      <c r="R158" s="1"/>
      <c r="S158" s="1"/>
      <c r="T158" s="1"/>
      <c r="U158" s="1"/>
    </row>
    <row r="159" spans="2:21">
      <c r="C159" s="97" t="s">
        <v>130</v>
      </c>
      <c r="D159" s="2"/>
      <c r="E159" s="1"/>
      <c r="F159" s="1"/>
      <c r="G159" s="1"/>
      <c r="H159" s="1"/>
      <c r="I159" s="260"/>
      <c r="J159" s="260"/>
      <c r="K159" s="242"/>
      <c r="L159" s="260"/>
      <c r="M159" s="260"/>
      <c r="N159" s="260"/>
      <c r="O159" s="260"/>
      <c r="P159" s="1"/>
      <c r="Q159" s="1"/>
      <c r="R159" s="1"/>
      <c r="S159" s="1"/>
      <c r="T159" s="1"/>
      <c r="U159" s="1"/>
    </row>
    <row r="160" spans="2:21">
      <c r="C160" s="25" t="s">
        <v>76</v>
      </c>
      <c r="D160" s="11"/>
      <c r="E160" s="11"/>
      <c r="F160" s="11"/>
      <c r="G160" s="11"/>
      <c r="H160" s="242"/>
      <c r="I160" s="242"/>
      <c r="J160" s="64"/>
      <c r="K160" s="64"/>
      <c r="L160" s="64"/>
      <c r="M160" s="64"/>
      <c r="N160" s="64"/>
      <c r="O160" s="64"/>
      <c r="P160" s="1"/>
      <c r="Q160" s="1"/>
      <c r="R160" s="1"/>
      <c r="S160" s="1"/>
      <c r="T160" s="1"/>
      <c r="U160" s="1"/>
    </row>
    <row r="161" spans="3:21">
      <c r="C161" s="84" t="s">
        <v>77</v>
      </c>
      <c r="D161" s="11"/>
      <c r="E161" s="11"/>
      <c r="F161" s="11"/>
      <c r="G161" s="11"/>
      <c r="H161" s="242"/>
      <c r="I161" s="242"/>
      <c r="J161" s="64"/>
      <c r="K161" s="64"/>
      <c r="L161" s="64"/>
      <c r="M161" s="64"/>
      <c r="N161" s="64"/>
      <c r="O161" s="64"/>
      <c r="P161" s="1"/>
      <c r="Q161" s="1"/>
      <c r="R161" s="1"/>
      <c r="S161" s="1"/>
      <c r="T161" s="1"/>
      <c r="U161" s="1"/>
    </row>
    <row r="162" spans="3:21">
      <c r="C162" s="84"/>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35" priority="1" stopIfTrue="1" operator="equal">
      <formula>$I$10</formula>
    </cfRule>
  </conditionalFormatting>
  <conditionalFormatting sqref="C100:C155">
    <cfRule type="cellIs" dxfId="34"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3">
    <tabColor theme="9" tint="0.39997558519241921"/>
  </sheetPr>
  <dimension ref="A1:U163"/>
  <sheetViews>
    <sheetView topLeftCell="A66" zoomScaleNormal="100" zoomScaleSheetLayoutView="78" workbookViewId="0">
      <selection activeCell="D93" sqref="D93"/>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"&amp;RIGHT(MID(CELL("filename",$A$1),FIND("]",CELL("filename",$A$1))+1,256),2)&amp;" of "&amp;COUNT('OKT.001:OKT.xyz - blank'!$P$3)-1</f>
        <v>OKT Project 11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2330674.9875733056</v>
      </c>
      <c r="P5" s="1"/>
      <c r="R5" s="1"/>
      <c r="S5" s="1"/>
      <c r="T5" s="1"/>
      <c r="U5" s="1"/>
    </row>
    <row r="6" spans="1:21" ht="15.75">
      <c r="C6" s="6"/>
      <c r="D6" s="2"/>
      <c r="E6" s="1"/>
      <c r="F6" s="1"/>
      <c r="G6" s="1"/>
      <c r="H6" s="351"/>
      <c r="I6" s="351"/>
      <c r="J6" s="352"/>
      <c r="K6" s="22" t="s">
        <v>243</v>
      </c>
      <c r="L6" s="353"/>
      <c r="M6" s="1"/>
      <c r="N6" s="354">
        <f>VLOOKUP(I10,C17:I73,6)</f>
        <v>2330674.9875733056</v>
      </c>
      <c r="O6" s="1"/>
      <c r="P6" s="1"/>
      <c r="R6" s="1"/>
      <c r="S6" s="1"/>
      <c r="T6" s="1"/>
      <c r="U6" s="1"/>
    </row>
    <row r="7" spans="1:21" ht="13.5" thickBot="1">
      <c r="C7" s="25" t="s">
        <v>46</v>
      </c>
      <c r="D7" s="96" t="s">
        <v>222</v>
      </c>
      <c r="E7" s="1"/>
      <c r="F7" s="1"/>
      <c r="G7" s="1"/>
      <c r="H7" s="260"/>
      <c r="I7" s="260"/>
      <c r="J7" s="242"/>
      <c r="K7" s="355" t="s">
        <v>47</v>
      </c>
      <c r="L7" s="356"/>
      <c r="M7" s="356"/>
      <c r="N7" s="357">
        <f>+N6-N5</f>
        <v>0</v>
      </c>
      <c r="O7" s="1"/>
      <c r="P7" s="1"/>
      <c r="R7" s="1"/>
      <c r="S7" s="1"/>
      <c r="T7" s="1"/>
      <c r="U7" s="1"/>
    </row>
    <row r="8" spans="1:21" ht="13.5" thickBot="1">
      <c r="C8" s="29"/>
      <c r="D8" s="1" t="s">
        <v>230</v>
      </c>
      <c r="E8" s="10"/>
      <c r="F8" s="10"/>
      <c r="G8" s="10"/>
      <c r="H8" s="10"/>
      <c r="I8" s="10"/>
      <c r="J8" s="10"/>
      <c r="K8" s="10"/>
      <c r="L8" s="10"/>
      <c r="M8" s="10"/>
      <c r="N8" s="10"/>
      <c r="O8" s="10"/>
      <c r="P8" s="1"/>
      <c r="R8" s="1"/>
      <c r="S8" s="1"/>
      <c r="T8" s="1"/>
      <c r="U8" s="1"/>
    </row>
    <row r="9" spans="1:21" ht="13.5" thickBot="1">
      <c r="C9" s="30" t="s">
        <v>48</v>
      </c>
      <c r="D9" s="89" t="s">
        <v>221</v>
      </c>
      <c r="E9" s="31" t="s">
        <v>310</v>
      </c>
      <c r="F9" s="526" t="s">
        <v>313</v>
      </c>
      <c r="G9" s="31"/>
      <c r="H9" s="31"/>
      <c r="I9" s="32"/>
      <c r="J9" s="33"/>
      <c r="P9" s="1"/>
      <c r="R9" s="1"/>
      <c r="S9" s="1"/>
      <c r="T9" s="1"/>
      <c r="U9" s="1"/>
    </row>
    <row r="10" spans="1:21">
      <c r="C10" s="34" t="s">
        <v>49</v>
      </c>
      <c r="D10" s="358">
        <v>20242585.050000001</v>
      </c>
      <c r="E10" s="1" t="s">
        <v>50</v>
      </c>
      <c r="G10" s="2"/>
      <c r="H10" s="2"/>
      <c r="I10" s="36">
        <f>+'OKT.WS.F.BPU.ATRR.Projected'!R100</f>
        <v>2025</v>
      </c>
      <c r="J10" s="33"/>
      <c r="K10" s="242" t="s">
        <v>51</v>
      </c>
      <c r="O10" s="1"/>
      <c r="P10" s="1"/>
      <c r="R10" s="1"/>
      <c r="S10" s="1"/>
      <c r="T10" s="1"/>
      <c r="U10" s="1"/>
    </row>
    <row r="11" spans="1:21">
      <c r="C11" s="34" t="s">
        <v>52</v>
      </c>
      <c r="D11" s="37">
        <v>2014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11</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674752.83500000008</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73" si="0">IF(D17=F16,"","IU")</f>
        <v>IU</v>
      </c>
      <c r="C17" s="49">
        <f>IF(D11= "","-",D11)</f>
        <v>2014</v>
      </c>
      <c r="D17" s="433">
        <v>19043679.66</v>
      </c>
      <c r="E17" s="440">
        <v>27453.384639991029</v>
      </c>
      <c r="F17" s="433">
        <v>19016226.275360011</v>
      </c>
      <c r="G17" s="440">
        <v>376170.81030765898</v>
      </c>
      <c r="H17" s="438">
        <v>376170.81030765898</v>
      </c>
      <c r="I17" s="51">
        <v>0</v>
      </c>
      <c r="J17" s="51"/>
      <c r="K17" s="114">
        <f t="shared" ref="K17:K22" si="1">G17</f>
        <v>376170.81030765898</v>
      </c>
      <c r="L17" s="52">
        <f t="shared" ref="L17:L22" si="2">IF(K17&lt;&gt;0,+G17-K17,0)</f>
        <v>0</v>
      </c>
      <c r="M17" s="114">
        <f t="shared" ref="M17:M22" si="3">H17</f>
        <v>376170.81030765898</v>
      </c>
      <c r="N17" s="52">
        <f>IF(M17&lt;&gt;0,+H17-M17,0)</f>
        <v>0</v>
      </c>
      <c r="O17" s="53">
        <f>+N17-L17</f>
        <v>0</v>
      </c>
      <c r="P17" s="1"/>
      <c r="R17" s="1"/>
      <c r="S17" s="1"/>
      <c r="T17" s="1"/>
      <c r="U17" s="1"/>
    </row>
    <row r="18" spans="2:21">
      <c r="B18" t="str">
        <f t="shared" si="0"/>
        <v/>
      </c>
      <c r="C18" s="49">
        <f>IF(D11="","-",+C17+1)</f>
        <v>2015</v>
      </c>
      <c r="D18" s="435">
        <v>19016226.275360011</v>
      </c>
      <c r="E18" s="434">
        <v>329440.61567989236</v>
      </c>
      <c r="F18" s="435">
        <v>18686785.659680117</v>
      </c>
      <c r="G18" s="434">
        <v>2255402.3674066337</v>
      </c>
      <c r="H18" s="438">
        <v>2255402.3674066337</v>
      </c>
      <c r="I18" s="51">
        <v>0</v>
      </c>
      <c r="J18" s="51"/>
      <c r="K18" s="376">
        <f t="shared" si="1"/>
        <v>2255402.3674066337</v>
      </c>
      <c r="L18" s="53">
        <f t="shared" si="2"/>
        <v>0</v>
      </c>
      <c r="M18" s="376">
        <f t="shared" si="3"/>
        <v>2255402.3674066337</v>
      </c>
      <c r="N18" s="53">
        <f>IF(M18&lt;&gt;0,+H18-M18,0)</f>
        <v>0</v>
      </c>
      <c r="O18" s="53">
        <f>+N18-L18</f>
        <v>0</v>
      </c>
      <c r="P18" s="1"/>
      <c r="R18" s="1"/>
      <c r="S18" s="1"/>
      <c r="T18" s="1"/>
      <c r="U18" s="1"/>
    </row>
    <row r="19" spans="2:21">
      <c r="B19" t="str">
        <f t="shared" si="0"/>
        <v>IU</v>
      </c>
      <c r="C19" s="49">
        <f>IF(D11="","-",+C18+1)</f>
        <v>2016</v>
      </c>
      <c r="D19" s="435">
        <v>19821118.999680117</v>
      </c>
      <c r="E19" s="434">
        <v>419288.09601556091</v>
      </c>
      <c r="F19" s="435">
        <v>19401830.903664555</v>
      </c>
      <c r="G19" s="434">
        <v>2512364.7940132553</v>
      </c>
      <c r="H19" s="438">
        <v>2512364.7940132553</v>
      </c>
      <c r="I19" s="51">
        <f>H19-G19</f>
        <v>0</v>
      </c>
      <c r="J19" s="51"/>
      <c r="K19" s="376">
        <f t="shared" si="1"/>
        <v>2512364.7940132553</v>
      </c>
      <c r="L19" s="53">
        <f t="shared" si="2"/>
        <v>0</v>
      </c>
      <c r="M19" s="376">
        <f t="shared" si="3"/>
        <v>2512364.7940132553</v>
      </c>
      <c r="N19" s="53">
        <f t="shared" ref="N19:N73" si="4">IF(M19&lt;&gt;0,+H19-M19,0)</f>
        <v>0</v>
      </c>
      <c r="O19" s="53">
        <f t="shared" ref="O19:O73" si="5">+N19-L19</f>
        <v>0</v>
      </c>
      <c r="P19" s="1"/>
      <c r="R19" s="1"/>
      <c r="S19" s="1"/>
      <c r="T19" s="1"/>
      <c r="U19" s="1"/>
    </row>
    <row r="20" spans="2:21">
      <c r="B20" t="str">
        <f t="shared" si="0"/>
        <v>IU</v>
      </c>
      <c r="C20" s="49">
        <f>IF(D11="","-",+C19+1)</f>
        <v>2017</v>
      </c>
      <c r="D20" s="435">
        <v>19471877.903664555</v>
      </c>
      <c r="E20" s="434">
        <v>398116.94637922302</v>
      </c>
      <c r="F20" s="435">
        <v>19073760.957285333</v>
      </c>
      <c r="G20" s="434">
        <v>2516970.1817795802</v>
      </c>
      <c r="H20" s="438">
        <v>2516970.1817795802</v>
      </c>
      <c r="I20" s="51">
        <f t="shared" ref="I20:I73" si="6">H20-G20</f>
        <v>0</v>
      </c>
      <c r="J20" s="51"/>
      <c r="K20" s="376">
        <f t="shared" si="1"/>
        <v>2516970.1817795802</v>
      </c>
      <c r="L20" s="53">
        <f t="shared" si="2"/>
        <v>0</v>
      </c>
      <c r="M20" s="376">
        <f t="shared" si="3"/>
        <v>2516970.1817795802</v>
      </c>
      <c r="N20" s="53">
        <f>IF(M20&lt;&gt;0,+H20-M20,0)</f>
        <v>0</v>
      </c>
      <c r="O20" s="53">
        <f>+N20-L20</f>
        <v>0</v>
      </c>
      <c r="P20" s="1"/>
      <c r="R20" s="1"/>
      <c r="S20" s="1"/>
      <c r="T20" s="1"/>
      <c r="U20" s="1"/>
    </row>
    <row r="21" spans="2:21">
      <c r="B21" t="str">
        <f t="shared" si="0"/>
        <v/>
      </c>
      <c r="C21" s="49">
        <f>IF(D11="","-",+C20+1)</f>
        <v>2018</v>
      </c>
      <c r="D21" s="435">
        <v>19073760.957285333</v>
      </c>
      <c r="E21" s="434">
        <v>496575.20652112603</v>
      </c>
      <c r="F21" s="435">
        <v>18577185.750764206</v>
      </c>
      <c r="G21" s="434">
        <v>2409688.5146536361</v>
      </c>
      <c r="H21" s="438">
        <v>2409688.5146536361</v>
      </c>
      <c r="I21" s="51">
        <v>0</v>
      </c>
      <c r="J21" s="51"/>
      <c r="K21" s="376">
        <f t="shared" si="1"/>
        <v>2409688.5146536361</v>
      </c>
      <c r="L21" s="53">
        <f t="shared" si="2"/>
        <v>0</v>
      </c>
      <c r="M21" s="376">
        <f t="shared" si="3"/>
        <v>2409688.5146536361</v>
      </c>
      <c r="N21" s="53">
        <f>IF(M21&lt;&gt;0,+H21-M21,0)</f>
        <v>0</v>
      </c>
      <c r="O21" s="53">
        <f>+N21-L21</f>
        <v>0</v>
      </c>
      <c r="P21" s="1"/>
      <c r="R21" s="1"/>
      <c r="S21" s="1"/>
      <c r="T21" s="1"/>
      <c r="U21" s="1"/>
    </row>
    <row r="22" spans="2:21">
      <c r="B22" t="str">
        <f t="shared" si="0"/>
        <v/>
      </c>
      <c r="C22" s="49">
        <f>IF(D11="","-",+C21+1)</f>
        <v>2019</v>
      </c>
      <c r="D22" s="435">
        <v>18577185.750764206</v>
      </c>
      <c r="E22" s="434">
        <v>600534.11201085045</v>
      </c>
      <c r="F22" s="435">
        <v>17976651.638753355</v>
      </c>
      <c r="G22" s="434">
        <v>2500163.2849116144</v>
      </c>
      <c r="H22" s="438">
        <v>2500163.2849116144</v>
      </c>
      <c r="I22" s="51">
        <f t="shared" si="6"/>
        <v>0</v>
      </c>
      <c r="J22" s="51"/>
      <c r="K22" s="376">
        <f t="shared" si="1"/>
        <v>2500163.2849116144</v>
      </c>
      <c r="L22" s="53">
        <f t="shared" si="2"/>
        <v>0</v>
      </c>
      <c r="M22" s="376">
        <f t="shared" si="3"/>
        <v>2500163.2849116144</v>
      </c>
      <c r="N22" s="53">
        <f>IF(M22&lt;&gt;0,+H22-M22,0)</f>
        <v>0</v>
      </c>
      <c r="O22" s="53">
        <f>+N22-L22</f>
        <v>0</v>
      </c>
      <c r="P22" s="1"/>
      <c r="R22" s="1"/>
      <c r="S22" s="1"/>
      <c r="T22" s="1"/>
      <c r="U22" s="1"/>
    </row>
    <row r="23" spans="2:21">
      <c r="B23" t="str">
        <f t="shared" si="0"/>
        <v>IU</v>
      </c>
      <c r="C23" s="49">
        <f>IF(D11="","-",+C22+1)</f>
        <v>2020</v>
      </c>
      <c r="D23" s="435">
        <v>18080586.019661143</v>
      </c>
      <c r="E23" s="434">
        <v>592899.2478612588</v>
      </c>
      <c r="F23" s="435">
        <v>17487686.771799885</v>
      </c>
      <c r="G23" s="434">
        <v>2459032.5411911216</v>
      </c>
      <c r="H23" s="438">
        <v>2459032.5411911216</v>
      </c>
      <c r="I23" s="51">
        <f t="shared" si="6"/>
        <v>0</v>
      </c>
      <c r="J23" s="51"/>
      <c r="K23" s="376">
        <f t="shared" ref="K23" si="7">G23</f>
        <v>2459032.5411911216</v>
      </c>
      <c r="L23" s="53">
        <f t="shared" ref="L23" si="8">IF(K23&lt;&gt;0,+G23-K23,0)</f>
        <v>0</v>
      </c>
      <c r="M23" s="376">
        <f t="shared" ref="M23" si="9">H23</f>
        <v>2459032.5411911216</v>
      </c>
      <c r="N23" s="53">
        <f t="shared" si="4"/>
        <v>0</v>
      </c>
      <c r="O23" s="53">
        <f t="shared" si="5"/>
        <v>0</v>
      </c>
      <c r="P23" s="1"/>
      <c r="R23" s="1"/>
      <c r="S23" s="1"/>
      <c r="T23" s="1"/>
      <c r="U23" s="1"/>
    </row>
    <row r="24" spans="2:21">
      <c r="B24" t="str">
        <f t="shared" si="0"/>
        <v>IU</v>
      </c>
      <c r="C24" s="49">
        <f>IF(D11="","-",+C23+1)</f>
        <v>2021</v>
      </c>
      <c r="D24" s="435">
        <v>17378277.390892096</v>
      </c>
      <c r="E24" s="434">
        <v>652986.61290322582</v>
      </c>
      <c r="F24" s="435">
        <v>16725290.77798887</v>
      </c>
      <c r="G24" s="434">
        <v>2497735.0197140798</v>
      </c>
      <c r="H24" s="438">
        <v>2497735.0197140798</v>
      </c>
      <c r="I24" s="51">
        <f t="shared" si="6"/>
        <v>0</v>
      </c>
      <c r="J24" s="51"/>
      <c r="K24" s="376">
        <f t="shared" ref="K24" si="10">G24</f>
        <v>2497735.0197140798</v>
      </c>
      <c r="L24" s="53">
        <f t="shared" ref="L24" si="11">IF(K24&lt;&gt;0,+G24-K24,0)</f>
        <v>0</v>
      </c>
      <c r="M24" s="376">
        <f t="shared" ref="M24" si="12">H24</f>
        <v>2497735.0197140798</v>
      </c>
      <c r="N24" s="53">
        <f t="shared" si="4"/>
        <v>0</v>
      </c>
      <c r="O24" s="53">
        <f t="shared" si="5"/>
        <v>0</v>
      </c>
      <c r="P24" s="1"/>
      <c r="R24" s="1"/>
      <c r="S24" s="1"/>
      <c r="T24" s="1"/>
      <c r="U24" s="1"/>
    </row>
    <row r="25" spans="2:21">
      <c r="B25" t="str">
        <f t="shared" si="0"/>
        <v/>
      </c>
      <c r="C25" s="49">
        <f>IF(D11="","-",+C24+1)</f>
        <v>2022</v>
      </c>
      <c r="D25" s="435">
        <v>16725290.77798887</v>
      </c>
      <c r="E25" s="434">
        <v>613411.66666666663</v>
      </c>
      <c r="F25" s="435">
        <v>16111879.111322204</v>
      </c>
      <c r="G25" s="434">
        <v>2497588.3440501089</v>
      </c>
      <c r="H25" s="438">
        <v>2497588.3440501089</v>
      </c>
      <c r="I25" s="51">
        <f t="shared" si="6"/>
        <v>0</v>
      </c>
      <c r="J25" s="51"/>
      <c r="K25" s="376">
        <f t="shared" ref="K25" si="13">G25</f>
        <v>2497588.3440501089</v>
      </c>
      <c r="L25" s="53">
        <f t="shared" ref="L25" si="14">IF(K25&lt;&gt;0,+G25-K25,0)</f>
        <v>0</v>
      </c>
      <c r="M25" s="376">
        <f t="shared" ref="M25" si="15">H25</f>
        <v>2497588.3440501089</v>
      </c>
      <c r="N25" s="53">
        <f t="shared" si="4"/>
        <v>0</v>
      </c>
      <c r="O25" s="53">
        <f t="shared" si="5"/>
        <v>0</v>
      </c>
      <c r="P25" s="1"/>
      <c r="R25" s="1"/>
      <c r="S25" s="1"/>
      <c r="T25" s="1"/>
      <c r="U25" s="1"/>
    </row>
    <row r="26" spans="2:21">
      <c r="B26" t="str">
        <f t="shared" si="0"/>
        <v>IU</v>
      </c>
      <c r="C26" s="49">
        <f>IF(D11="","-",+C25+1)</f>
        <v>2023</v>
      </c>
      <c r="D26" s="435">
        <v>16111879.161322206</v>
      </c>
      <c r="E26" s="434">
        <v>652986.61451612902</v>
      </c>
      <c r="F26" s="435">
        <v>15458892.546806077</v>
      </c>
      <c r="G26" s="434">
        <v>2437253.8454477098</v>
      </c>
      <c r="H26" s="438">
        <v>2437253.8454477098</v>
      </c>
      <c r="I26" s="51">
        <f t="shared" si="6"/>
        <v>0</v>
      </c>
      <c r="J26" s="51"/>
      <c r="K26" s="376">
        <f t="shared" ref="K26" si="16">G26</f>
        <v>2437253.8454477098</v>
      </c>
      <c r="L26" s="53">
        <f t="shared" ref="L26" si="17">IF(K26&lt;&gt;0,+G26-K26,0)</f>
        <v>0</v>
      </c>
      <c r="M26" s="376">
        <f t="shared" ref="M26" si="18">H26</f>
        <v>2437253.8454477098</v>
      </c>
      <c r="N26" s="53">
        <f t="shared" si="4"/>
        <v>0</v>
      </c>
      <c r="O26" s="53">
        <f t="shared" si="5"/>
        <v>0</v>
      </c>
      <c r="P26" s="1"/>
      <c r="R26" s="1"/>
      <c r="S26" s="1"/>
      <c r="T26" s="1"/>
      <c r="U26" s="1"/>
    </row>
    <row r="27" spans="2:21">
      <c r="B27" t="str">
        <f t="shared" si="0"/>
        <v/>
      </c>
      <c r="C27" s="49">
        <f>IF(D11="","-",+C26+1)</f>
        <v>2024</v>
      </c>
      <c r="D27" s="435">
        <v>15458892.546806077</v>
      </c>
      <c r="E27" s="434">
        <v>652986.61451612902</v>
      </c>
      <c r="F27" s="435">
        <v>14805905.932289947</v>
      </c>
      <c r="G27" s="434">
        <v>2377045.5733941188</v>
      </c>
      <c r="H27" s="438">
        <v>2377045.5733941188</v>
      </c>
      <c r="I27" s="51">
        <f t="shared" si="6"/>
        <v>0</v>
      </c>
      <c r="J27" s="51"/>
      <c r="K27" s="376">
        <f t="shared" ref="K27" si="19">G27</f>
        <v>2377045.5733941188</v>
      </c>
      <c r="L27" s="53">
        <f t="shared" ref="L27" si="20">IF(K27&lt;&gt;0,+G27-K27,0)</f>
        <v>0</v>
      </c>
      <c r="M27" s="376">
        <f t="shared" ref="M27" si="21">H27</f>
        <v>2377045.5733941188</v>
      </c>
      <c r="N27" s="53">
        <f t="shared" ref="N27" si="22">IF(M27&lt;&gt;0,+H27-M27,0)</f>
        <v>0</v>
      </c>
      <c r="O27" s="53">
        <f t="shared" ref="O27" si="23">+N27-L27</f>
        <v>0</v>
      </c>
      <c r="P27" s="1"/>
      <c r="R27" s="1"/>
      <c r="S27" s="1"/>
      <c r="T27" s="1"/>
      <c r="U27" s="1"/>
    </row>
    <row r="28" spans="2:21">
      <c r="B28" t="str">
        <f t="shared" si="0"/>
        <v/>
      </c>
      <c r="C28" s="49">
        <f>IF(D11="","-",+C27+1)</f>
        <v>2025</v>
      </c>
      <c r="D28" s="435">
        <v>14805905.932289947</v>
      </c>
      <c r="E28" s="434">
        <v>674752.83500000008</v>
      </c>
      <c r="F28" s="435">
        <v>14131153.097289946</v>
      </c>
      <c r="G28" s="434">
        <v>2330674.9875733056</v>
      </c>
      <c r="H28" s="438">
        <v>2330674.9875733056</v>
      </c>
      <c r="I28" s="51">
        <f t="shared" si="6"/>
        <v>0</v>
      </c>
      <c r="J28" s="51"/>
      <c r="K28" s="376">
        <f t="shared" ref="K28" si="24">G28</f>
        <v>2330674.9875733056</v>
      </c>
      <c r="L28" s="53">
        <f t="shared" ref="L28" si="25">IF(K28&lt;&gt;0,+G28-K28,0)</f>
        <v>0</v>
      </c>
      <c r="M28" s="376">
        <f t="shared" ref="M28" si="26">H28</f>
        <v>2330674.9875733056</v>
      </c>
      <c r="N28" s="53">
        <f t="shared" ref="N28" si="27">IF(M28&lt;&gt;0,+H28-M28,0)</f>
        <v>0</v>
      </c>
      <c r="O28" s="53">
        <f t="shared" ref="O28" si="28">+N28-L28</f>
        <v>0</v>
      </c>
      <c r="P28" s="1"/>
      <c r="R28" s="1"/>
      <c r="S28" s="1"/>
      <c r="T28" s="1"/>
      <c r="U28" s="1"/>
    </row>
    <row r="29" spans="2:21">
      <c r="B29" t="str">
        <f t="shared" si="0"/>
        <v/>
      </c>
      <c r="C29" s="49">
        <f>IF(D11="","-",+C28+1)</f>
        <v>2026</v>
      </c>
      <c r="D29" s="54">
        <f>IF(F28+SUM(E$17:E28)=D$10,F28,D$10-SUM(E$17:E28))</f>
        <v>14131153.097289946</v>
      </c>
      <c r="E29" s="377">
        <f t="shared" ref="E29:E73" si="29">IF(+$I$14&lt;F28,$I$14,D29)</f>
        <v>674752.83500000008</v>
      </c>
      <c r="F29" s="54">
        <f t="shared" ref="F29:F73" si="30">+D29-E29</f>
        <v>13456400.262289945</v>
      </c>
      <c r="G29" s="378">
        <f t="shared" ref="G29:G73" si="31">(D29+F29)/2*I$12+E29</f>
        <v>2253449.5745936395</v>
      </c>
      <c r="H29" s="359">
        <f t="shared" ref="H29:H73" si="32">+(D29+F29)/2*I$13+E29</f>
        <v>2253449.5745936395</v>
      </c>
      <c r="I29" s="51">
        <f t="shared" si="6"/>
        <v>0</v>
      </c>
      <c r="J29" s="51"/>
      <c r="K29" s="112"/>
      <c r="L29" s="53">
        <f t="shared" ref="L29:L73" si="33">IF(K29&lt;&gt;0,+G29-K29,0)</f>
        <v>0</v>
      </c>
      <c r="M29" s="112"/>
      <c r="N29" s="53">
        <f t="shared" si="4"/>
        <v>0</v>
      </c>
      <c r="O29" s="53">
        <f t="shared" si="5"/>
        <v>0</v>
      </c>
      <c r="P29" s="1"/>
      <c r="R29" s="1"/>
      <c r="S29" s="1"/>
      <c r="T29" s="1"/>
      <c r="U29" s="1"/>
    </row>
    <row r="30" spans="2:21">
      <c r="B30" t="str">
        <f t="shared" si="0"/>
        <v/>
      </c>
      <c r="C30" s="49">
        <f>IF(D11="","-",+C29+1)</f>
        <v>2027</v>
      </c>
      <c r="D30" s="54">
        <f>IF(F29+SUM(E$17:E29)=D$10,F29,D$10-SUM(E$17:E29))</f>
        <v>13456400.262289945</v>
      </c>
      <c r="E30" s="377">
        <f t="shared" si="29"/>
        <v>674752.83500000008</v>
      </c>
      <c r="F30" s="54">
        <f t="shared" si="30"/>
        <v>12781647.427289944</v>
      </c>
      <c r="G30" s="378">
        <f t="shared" si="31"/>
        <v>2176224.1616139733</v>
      </c>
      <c r="H30" s="359">
        <f t="shared" si="32"/>
        <v>2176224.1616139733</v>
      </c>
      <c r="I30" s="51">
        <f t="shared" si="6"/>
        <v>0</v>
      </c>
      <c r="J30" s="51"/>
      <c r="K30" s="112"/>
      <c r="L30" s="53">
        <f t="shared" si="33"/>
        <v>0</v>
      </c>
      <c r="M30" s="112"/>
      <c r="N30" s="53">
        <f t="shared" si="4"/>
        <v>0</v>
      </c>
      <c r="O30" s="53">
        <f t="shared" si="5"/>
        <v>0</v>
      </c>
      <c r="P30" s="1"/>
      <c r="R30" s="1"/>
      <c r="S30" s="1"/>
      <c r="T30" s="1"/>
      <c r="U30" s="1"/>
    </row>
    <row r="31" spans="2:21">
      <c r="B31" t="str">
        <f t="shared" si="0"/>
        <v/>
      </c>
      <c r="C31" s="49">
        <f>IF(D11="","-",+C30+1)</f>
        <v>2028</v>
      </c>
      <c r="D31" s="54">
        <f>IF(F30+SUM(E$17:E30)=D$10,F30,D$10-SUM(E$17:E30))</f>
        <v>12781647.427289944</v>
      </c>
      <c r="E31" s="377">
        <f t="shared" si="29"/>
        <v>674752.83500000008</v>
      </c>
      <c r="F31" s="54">
        <f t="shared" si="30"/>
        <v>12106894.592289943</v>
      </c>
      <c r="G31" s="378">
        <f t="shared" si="31"/>
        <v>2098998.7486343072</v>
      </c>
      <c r="H31" s="359">
        <f t="shared" si="32"/>
        <v>2098998.7486343072</v>
      </c>
      <c r="I31" s="51">
        <f t="shared" si="6"/>
        <v>0</v>
      </c>
      <c r="J31" s="51"/>
      <c r="K31" s="112"/>
      <c r="L31" s="53">
        <f t="shared" si="33"/>
        <v>0</v>
      </c>
      <c r="M31" s="112"/>
      <c r="N31" s="53">
        <f t="shared" si="4"/>
        <v>0</v>
      </c>
      <c r="O31" s="53">
        <f t="shared" si="5"/>
        <v>0</v>
      </c>
      <c r="P31" s="1"/>
      <c r="R31" s="1"/>
      <c r="S31" s="1"/>
      <c r="T31" s="1"/>
      <c r="U31" s="1"/>
    </row>
    <row r="32" spans="2:21">
      <c r="B32" t="str">
        <f t="shared" si="0"/>
        <v/>
      </c>
      <c r="C32" s="49">
        <f>IF(D12="","-",+C31+1)</f>
        <v>2029</v>
      </c>
      <c r="D32" s="54">
        <f>IF(F31+SUM(E$17:E31)=D$10,F31,D$10-SUM(E$17:E31))</f>
        <v>12106894.592289943</v>
      </c>
      <c r="E32" s="377">
        <f>IF(+$I$14&lt;F31,$I$14,D32)</f>
        <v>674752.83500000008</v>
      </c>
      <c r="F32" s="54">
        <f>+D32-E32</f>
        <v>11432141.757289942</v>
      </c>
      <c r="G32" s="378">
        <f t="shared" si="31"/>
        <v>2021773.335654641</v>
      </c>
      <c r="H32" s="359">
        <f t="shared" si="32"/>
        <v>2021773.335654641</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2030</v>
      </c>
      <c r="D33" s="54">
        <f>IF(F32+SUM(E$17:E32)=D$10,F32,D$10-SUM(E$17:E32))</f>
        <v>11432141.757289942</v>
      </c>
      <c r="E33" s="377">
        <f>IF(+$I$14&lt;F32,$I$14,D33)</f>
        <v>674752.83500000008</v>
      </c>
      <c r="F33" s="54">
        <f>+D33-E33</f>
        <v>10757388.922289941</v>
      </c>
      <c r="G33" s="378">
        <f t="shared" si="31"/>
        <v>1944547.9226749749</v>
      </c>
      <c r="H33" s="359">
        <f t="shared" si="32"/>
        <v>1944547.9226749749</v>
      </c>
      <c r="I33" s="51">
        <f>H33-G33</f>
        <v>0</v>
      </c>
      <c r="J33" s="51"/>
      <c r="K33" s="112"/>
      <c r="L33" s="53">
        <f>IF(K33&lt;&gt;0,+G33-K33,0)</f>
        <v>0</v>
      </c>
      <c r="M33" s="112"/>
      <c r="N33" s="53">
        <f>IF(M33&lt;&gt;0,+H33-M33,0)</f>
        <v>0</v>
      </c>
      <c r="O33" s="53">
        <f>+N33-L33</f>
        <v>0</v>
      </c>
      <c r="P33" s="1"/>
      <c r="R33" s="1"/>
      <c r="S33" s="1"/>
      <c r="T33" s="1"/>
      <c r="U33" s="1"/>
    </row>
    <row r="34" spans="2:21">
      <c r="B34" t="str">
        <f t="shared" si="0"/>
        <v/>
      </c>
      <c r="C34" s="379">
        <f>IF(D11="","-",+C33+1)</f>
        <v>2031</v>
      </c>
      <c r="D34" s="380">
        <f>IF(F33+SUM(E$17:E33)=D$10,F33,D$10-SUM(E$17:E33))</f>
        <v>10757388.922289941</v>
      </c>
      <c r="E34" s="381">
        <f t="shared" si="29"/>
        <v>674752.83500000008</v>
      </c>
      <c r="F34" s="380">
        <f t="shared" si="30"/>
        <v>10082636.087289941</v>
      </c>
      <c r="G34" s="378">
        <f t="shared" si="31"/>
        <v>1867322.5096953087</v>
      </c>
      <c r="H34" s="359">
        <f t="shared" si="32"/>
        <v>1867322.5096953087</v>
      </c>
      <c r="I34" s="384">
        <f t="shared" si="6"/>
        <v>0</v>
      </c>
      <c r="J34" s="384"/>
      <c r="K34" s="385"/>
      <c r="L34" s="386">
        <f t="shared" si="33"/>
        <v>0</v>
      </c>
      <c r="M34" s="385"/>
      <c r="N34" s="386">
        <f t="shared" si="4"/>
        <v>0</v>
      </c>
      <c r="O34" s="386">
        <f t="shared" si="5"/>
        <v>0</v>
      </c>
      <c r="P34" s="387"/>
      <c r="Q34" s="187"/>
      <c r="R34" s="387"/>
      <c r="S34" s="387"/>
      <c r="T34" s="387"/>
      <c r="U34" s="1"/>
    </row>
    <row r="35" spans="2:21">
      <c r="B35" t="str">
        <f t="shared" si="0"/>
        <v/>
      </c>
      <c r="C35" s="49">
        <f>IF(D11="","-",+C34+1)</f>
        <v>2032</v>
      </c>
      <c r="D35" s="54">
        <f>IF(F34+SUM(E$17:E34)=D$10,F34,D$10-SUM(E$17:E34))</f>
        <v>10082636.087289941</v>
      </c>
      <c r="E35" s="377">
        <f t="shared" si="29"/>
        <v>674752.83500000008</v>
      </c>
      <c r="F35" s="54">
        <f t="shared" si="30"/>
        <v>9407883.2522899397</v>
      </c>
      <c r="G35" s="378">
        <f t="shared" si="31"/>
        <v>1790097.0967156426</v>
      </c>
      <c r="H35" s="359">
        <f t="shared" si="32"/>
        <v>1790097.0967156426</v>
      </c>
      <c r="I35" s="51">
        <f t="shared" si="6"/>
        <v>0</v>
      </c>
      <c r="J35" s="51"/>
      <c r="K35" s="112"/>
      <c r="L35" s="53">
        <f t="shared" si="33"/>
        <v>0</v>
      </c>
      <c r="M35" s="112"/>
      <c r="N35" s="53">
        <f t="shared" si="4"/>
        <v>0</v>
      </c>
      <c r="O35" s="53">
        <f t="shared" si="5"/>
        <v>0</v>
      </c>
      <c r="P35" s="1"/>
      <c r="R35" s="1"/>
      <c r="S35" s="1"/>
      <c r="T35" s="1"/>
      <c r="U35" s="1"/>
    </row>
    <row r="36" spans="2:21">
      <c r="B36" t="str">
        <f t="shared" si="0"/>
        <v/>
      </c>
      <c r="C36" s="49">
        <f>IF(D11="","-",+C35+1)</f>
        <v>2033</v>
      </c>
      <c r="D36" s="54">
        <f>IF(F35+SUM(E$17:E35)=D$10,F35,D$10-SUM(E$17:E35))</f>
        <v>9407883.2522899397</v>
      </c>
      <c r="E36" s="377">
        <f t="shared" si="29"/>
        <v>674752.83500000008</v>
      </c>
      <c r="F36" s="54">
        <f t="shared" si="30"/>
        <v>8733130.4172899388</v>
      </c>
      <c r="G36" s="378">
        <f t="shared" si="31"/>
        <v>1712871.6837359765</v>
      </c>
      <c r="H36" s="359">
        <f t="shared" si="32"/>
        <v>1712871.6837359765</v>
      </c>
      <c r="I36" s="51">
        <f t="shared" si="6"/>
        <v>0</v>
      </c>
      <c r="J36" s="51"/>
      <c r="K36" s="112"/>
      <c r="L36" s="53">
        <f t="shared" si="33"/>
        <v>0</v>
      </c>
      <c r="M36" s="112"/>
      <c r="N36" s="53">
        <f t="shared" si="4"/>
        <v>0</v>
      </c>
      <c r="O36" s="53">
        <f t="shared" si="5"/>
        <v>0</v>
      </c>
      <c r="P36" s="1"/>
      <c r="R36" s="1"/>
      <c r="S36" s="1"/>
      <c r="T36" s="1"/>
      <c r="U36" s="1"/>
    </row>
    <row r="37" spans="2:21">
      <c r="B37" t="str">
        <f t="shared" si="0"/>
        <v/>
      </c>
      <c r="C37" s="49">
        <f>IF(D11="","-",+C36+1)</f>
        <v>2034</v>
      </c>
      <c r="D37" s="54">
        <f>IF(F36+SUM(E$17:E36)=D$10,F36,D$10-SUM(E$17:E36))</f>
        <v>8733130.4172899388</v>
      </c>
      <c r="E37" s="377">
        <f t="shared" si="29"/>
        <v>674752.83500000008</v>
      </c>
      <c r="F37" s="54">
        <f t="shared" si="30"/>
        <v>8058377.5822899388</v>
      </c>
      <c r="G37" s="378">
        <f t="shared" si="31"/>
        <v>1635646.2707563103</v>
      </c>
      <c r="H37" s="359">
        <f t="shared" si="32"/>
        <v>1635646.2707563103</v>
      </c>
      <c r="I37" s="51">
        <f t="shared" si="6"/>
        <v>0</v>
      </c>
      <c r="J37" s="51"/>
      <c r="K37" s="112"/>
      <c r="L37" s="53">
        <f t="shared" si="33"/>
        <v>0</v>
      </c>
      <c r="M37" s="112"/>
      <c r="N37" s="53">
        <f t="shared" si="4"/>
        <v>0</v>
      </c>
      <c r="O37" s="53">
        <f t="shared" si="5"/>
        <v>0</v>
      </c>
      <c r="P37" s="1"/>
      <c r="R37" s="1"/>
      <c r="S37" s="1"/>
      <c r="T37" s="1"/>
      <c r="U37" s="1"/>
    </row>
    <row r="38" spans="2:21">
      <c r="B38" t="str">
        <f t="shared" si="0"/>
        <v/>
      </c>
      <c r="C38" s="49">
        <f>IF(D11="","-",+C37+1)</f>
        <v>2035</v>
      </c>
      <c r="D38" s="54">
        <f>IF(F37+SUM(E$17:E37)=D$10,F37,D$10-SUM(E$17:E37))</f>
        <v>8058377.5822899388</v>
      </c>
      <c r="E38" s="377">
        <f t="shared" si="29"/>
        <v>674752.83500000008</v>
      </c>
      <c r="F38" s="54">
        <f t="shared" si="30"/>
        <v>7383624.7472899389</v>
      </c>
      <c r="G38" s="378">
        <f t="shared" si="31"/>
        <v>1558420.8577766446</v>
      </c>
      <c r="H38" s="359">
        <f t="shared" si="32"/>
        <v>1558420.8577766446</v>
      </c>
      <c r="I38" s="51">
        <f t="shared" si="6"/>
        <v>0</v>
      </c>
      <c r="J38" s="51"/>
      <c r="K38" s="112"/>
      <c r="L38" s="53">
        <f t="shared" si="33"/>
        <v>0</v>
      </c>
      <c r="M38" s="112"/>
      <c r="N38" s="53">
        <f t="shared" si="4"/>
        <v>0</v>
      </c>
      <c r="O38" s="53">
        <f t="shared" si="5"/>
        <v>0</v>
      </c>
      <c r="P38" s="1"/>
      <c r="R38" s="1"/>
      <c r="S38" s="1"/>
      <c r="T38" s="1"/>
      <c r="U38" s="1"/>
    </row>
    <row r="39" spans="2:21">
      <c r="B39" t="str">
        <f t="shared" si="0"/>
        <v/>
      </c>
      <c r="C39" s="49">
        <f>IF(D11="","-",+C38+1)</f>
        <v>2036</v>
      </c>
      <c r="D39" s="54">
        <f>IF(F38+SUM(E$17:E38)=D$10,F38,D$10-SUM(E$17:E38))</f>
        <v>7383624.7472899389</v>
      </c>
      <c r="E39" s="377">
        <f t="shared" si="29"/>
        <v>674752.83500000008</v>
      </c>
      <c r="F39" s="54">
        <f t="shared" si="30"/>
        <v>6708871.9122899389</v>
      </c>
      <c r="G39" s="378">
        <f t="shared" si="31"/>
        <v>1481195.4447969785</v>
      </c>
      <c r="H39" s="359">
        <f t="shared" si="32"/>
        <v>1481195.4447969785</v>
      </c>
      <c r="I39" s="51">
        <f t="shared" si="6"/>
        <v>0</v>
      </c>
      <c r="J39" s="51"/>
      <c r="K39" s="112"/>
      <c r="L39" s="53">
        <f t="shared" si="33"/>
        <v>0</v>
      </c>
      <c r="M39" s="112"/>
      <c r="N39" s="53">
        <f t="shared" si="4"/>
        <v>0</v>
      </c>
      <c r="O39" s="53">
        <f t="shared" si="5"/>
        <v>0</v>
      </c>
      <c r="P39" s="1"/>
      <c r="R39" s="1"/>
      <c r="S39" s="1"/>
      <c r="T39" s="1"/>
      <c r="U39" s="1"/>
    </row>
    <row r="40" spans="2:21">
      <c r="B40" t="str">
        <f t="shared" si="0"/>
        <v/>
      </c>
      <c r="C40" s="49">
        <f>IF(D11="","-",+C39+1)</f>
        <v>2037</v>
      </c>
      <c r="D40" s="54">
        <f>IF(F39+SUM(E$17:E39)=D$10,F39,D$10-SUM(E$17:E39))</f>
        <v>6708871.9122899389</v>
      </c>
      <c r="E40" s="377">
        <f t="shared" si="29"/>
        <v>674752.83500000008</v>
      </c>
      <c r="F40" s="54">
        <f t="shared" si="30"/>
        <v>6034119.0772899389</v>
      </c>
      <c r="G40" s="378">
        <f t="shared" si="31"/>
        <v>1403970.0318173124</v>
      </c>
      <c r="H40" s="359">
        <f t="shared" si="32"/>
        <v>1403970.0318173124</v>
      </c>
      <c r="I40" s="51">
        <f t="shared" si="6"/>
        <v>0</v>
      </c>
      <c r="J40" s="51"/>
      <c r="K40" s="112"/>
      <c r="L40" s="53">
        <f t="shared" si="33"/>
        <v>0</v>
      </c>
      <c r="M40" s="112"/>
      <c r="N40" s="53">
        <f t="shared" si="4"/>
        <v>0</v>
      </c>
      <c r="O40" s="53">
        <f t="shared" si="5"/>
        <v>0</v>
      </c>
      <c r="P40" s="1"/>
      <c r="R40" s="1"/>
      <c r="S40" s="1"/>
      <c r="T40" s="1"/>
      <c r="U40" s="1"/>
    </row>
    <row r="41" spans="2:21">
      <c r="B41" t="str">
        <f t="shared" si="0"/>
        <v/>
      </c>
      <c r="C41" s="49">
        <f>IF(D12="","-",+C40+1)</f>
        <v>2038</v>
      </c>
      <c r="D41" s="54">
        <f>IF(F40+SUM(E$17:E40)=D$10,F40,D$10-SUM(E$17:E40))</f>
        <v>6034119.0772899389</v>
      </c>
      <c r="E41" s="377">
        <f t="shared" si="29"/>
        <v>674752.83500000008</v>
      </c>
      <c r="F41" s="54">
        <f t="shared" si="30"/>
        <v>5359366.242289939</v>
      </c>
      <c r="G41" s="378">
        <f t="shared" si="31"/>
        <v>1326744.6188376464</v>
      </c>
      <c r="H41" s="359">
        <f t="shared" si="32"/>
        <v>1326744.6188376464</v>
      </c>
      <c r="I41" s="51">
        <f t="shared" si="6"/>
        <v>0</v>
      </c>
      <c r="J41" s="51"/>
      <c r="K41" s="112"/>
      <c r="L41" s="53">
        <f t="shared" si="33"/>
        <v>0</v>
      </c>
      <c r="M41" s="112"/>
      <c r="N41" s="53">
        <f t="shared" si="4"/>
        <v>0</v>
      </c>
      <c r="O41" s="53">
        <f t="shared" si="5"/>
        <v>0</v>
      </c>
      <c r="P41" s="1"/>
      <c r="R41" s="1"/>
      <c r="S41" s="1"/>
      <c r="T41" s="1"/>
      <c r="U41" s="1"/>
    </row>
    <row r="42" spans="2:21">
      <c r="B42" t="str">
        <f t="shared" si="0"/>
        <v/>
      </c>
      <c r="C42" s="49">
        <f>IF(D13="","-",+C41+1)</f>
        <v>2039</v>
      </c>
      <c r="D42" s="54">
        <f>IF(F41+SUM(E$17:E41)=D$10,F41,D$10-SUM(E$17:E41))</f>
        <v>5359366.242289939</v>
      </c>
      <c r="E42" s="377">
        <f t="shared" si="29"/>
        <v>674752.83500000008</v>
      </c>
      <c r="F42" s="54">
        <f t="shared" si="30"/>
        <v>4684613.407289939</v>
      </c>
      <c r="G42" s="378">
        <f t="shared" si="31"/>
        <v>1249519.2058579805</v>
      </c>
      <c r="H42" s="359">
        <f t="shared" si="32"/>
        <v>1249519.2058579805</v>
      </c>
      <c r="I42" s="51">
        <f t="shared" si="6"/>
        <v>0</v>
      </c>
      <c r="J42" s="51"/>
      <c r="K42" s="112"/>
      <c r="L42" s="53">
        <f t="shared" si="33"/>
        <v>0</v>
      </c>
      <c r="M42" s="112"/>
      <c r="N42" s="53">
        <f t="shared" si="4"/>
        <v>0</v>
      </c>
      <c r="O42" s="53">
        <f t="shared" si="5"/>
        <v>0</v>
      </c>
      <c r="P42" s="1"/>
      <c r="R42" s="1"/>
      <c r="S42" s="1"/>
      <c r="T42" s="1"/>
      <c r="U42" s="1"/>
    </row>
    <row r="43" spans="2:21">
      <c r="B43" t="str">
        <f t="shared" si="0"/>
        <v/>
      </c>
      <c r="C43" s="49">
        <f>IF(D11="","-",+C42+1)</f>
        <v>2040</v>
      </c>
      <c r="D43" s="54">
        <f>IF(F42+SUM(E$17:E42)=D$10,F42,D$10-SUM(E$17:E42))</f>
        <v>4684613.407289939</v>
      </c>
      <c r="E43" s="377">
        <f t="shared" si="29"/>
        <v>674752.83500000008</v>
      </c>
      <c r="F43" s="54">
        <f t="shared" si="30"/>
        <v>4009860.572289939</v>
      </c>
      <c r="G43" s="378">
        <f t="shared" si="31"/>
        <v>1172293.7928783144</v>
      </c>
      <c r="H43" s="359">
        <f t="shared" si="32"/>
        <v>1172293.7928783144</v>
      </c>
      <c r="I43" s="51">
        <f t="shared" si="6"/>
        <v>0</v>
      </c>
      <c r="J43" s="51"/>
      <c r="K43" s="112"/>
      <c r="L43" s="53">
        <f t="shared" si="33"/>
        <v>0</v>
      </c>
      <c r="M43" s="112"/>
      <c r="N43" s="53">
        <f t="shared" si="4"/>
        <v>0</v>
      </c>
      <c r="O43" s="53">
        <f t="shared" si="5"/>
        <v>0</v>
      </c>
      <c r="P43" s="1"/>
      <c r="R43" s="1"/>
      <c r="S43" s="1"/>
      <c r="T43" s="1"/>
      <c r="U43" s="1"/>
    </row>
    <row r="44" spans="2:21">
      <c r="B44" t="str">
        <f t="shared" si="0"/>
        <v/>
      </c>
      <c r="C44" s="49">
        <f>IF(D11="","-",+C43+1)</f>
        <v>2041</v>
      </c>
      <c r="D44" s="54">
        <f>IF(F43+SUM(E$17:E43)=D$10,F43,D$10-SUM(E$17:E43))</f>
        <v>4009860.572289939</v>
      </c>
      <c r="E44" s="377">
        <f t="shared" si="29"/>
        <v>674752.83500000008</v>
      </c>
      <c r="F44" s="54">
        <f t="shared" si="30"/>
        <v>3335107.7372899391</v>
      </c>
      <c r="G44" s="378">
        <f t="shared" si="31"/>
        <v>1095068.3798986485</v>
      </c>
      <c r="H44" s="359">
        <f t="shared" si="32"/>
        <v>1095068.3798986485</v>
      </c>
      <c r="I44" s="51">
        <f t="shared" si="6"/>
        <v>0</v>
      </c>
      <c r="J44" s="51"/>
      <c r="K44" s="112"/>
      <c r="L44" s="53">
        <f t="shared" si="33"/>
        <v>0</v>
      </c>
      <c r="M44" s="112"/>
      <c r="N44" s="53">
        <f t="shared" si="4"/>
        <v>0</v>
      </c>
      <c r="O44" s="53">
        <f t="shared" si="5"/>
        <v>0</v>
      </c>
      <c r="P44" s="1"/>
      <c r="R44" s="1"/>
      <c r="S44" s="1"/>
      <c r="T44" s="1"/>
      <c r="U44" s="1"/>
    </row>
    <row r="45" spans="2:21">
      <c r="B45" t="str">
        <f t="shared" si="0"/>
        <v/>
      </c>
      <c r="C45" s="49">
        <f>IF(D11="","-",+C44+1)</f>
        <v>2042</v>
      </c>
      <c r="D45" s="54">
        <f>IF(F44+SUM(E$17:E44)=D$10,F44,D$10-SUM(E$17:E44))</f>
        <v>3335107.7372899391</v>
      </c>
      <c r="E45" s="377">
        <f t="shared" si="29"/>
        <v>674752.83500000008</v>
      </c>
      <c r="F45" s="54">
        <f t="shared" si="30"/>
        <v>2660354.9022899391</v>
      </c>
      <c r="G45" s="378">
        <f t="shared" si="31"/>
        <v>1017842.9669189823</v>
      </c>
      <c r="H45" s="359">
        <f t="shared" si="32"/>
        <v>1017842.9669189823</v>
      </c>
      <c r="I45" s="51">
        <f t="shared" si="6"/>
        <v>0</v>
      </c>
      <c r="J45" s="51"/>
      <c r="K45" s="112"/>
      <c r="L45" s="53">
        <f t="shared" si="33"/>
        <v>0</v>
      </c>
      <c r="M45" s="112"/>
      <c r="N45" s="53">
        <f t="shared" si="4"/>
        <v>0</v>
      </c>
      <c r="O45" s="53">
        <f t="shared" si="5"/>
        <v>0</v>
      </c>
      <c r="P45" s="1"/>
      <c r="R45" s="1"/>
      <c r="S45" s="1"/>
      <c r="T45" s="1"/>
      <c r="U45" s="1"/>
    </row>
    <row r="46" spans="2:21">
      <c r="B46" t="str">
        <f t="shared" si="0"/>
        <v/>
      </c>
      <c r="C46" s="49">
        <f>IF(D11="","-",+C45+1)</f>
        <v>2043</v>
      </c>
      <c r="D46" s="54">
        <f>IF(F45+SUM(E$17:E45)=D$10,F45,D$10-SUM(E$17:E45))</f>
        <v>2660354.9022899391</v>
      </c>
      <c r="E46" s="377">
        <f t="shared" si="29"/>
        <v>674752.83500000008</v>
      </c>
      <c r="F46" s="54">
        <f t="shared" si="30"/>
        <v>1985602.0672899392</v>
      </c>
      <c r="G46" s="378">
        <f t="shared" si="31"/>
        <v>940617.55393931642</v>
      </c>
      <c r="H46" s="359">
        <f t="shared" si="32"/>
        <v>940617.55393931642</v>
      </c>
      <c r="I46" s="51">
        <f t="shared" si="6"/>
        <v>0</v>
      </c>
      <c r="J46" s="51"/>
      <c r="K46" s="112"/>
      <c r="L46" s="53">
        <f t="shared" si="33"/>
        <v>0</v>
      </c>
      <c r="M46" s="112"/>
      <c r="N46" s="53">
        <f t="shared" si="4"/>
        <v>0</v>
      </c>
      <c r="O46" s="53">
        <f t="shared" si="5"/>
        <v>0</v>
      </c>
      <c r="P46" s="1"/>
      <c r="R46" s="1"/>
      <c r="S46" s="1"/>
      <c r="T46" s="1"/>
      <c r="U46" s="1"/>
    </row>
    <row r="47" spans="2:21">
      <c r="B47" t="str">
        <f t="shared" si="0"/>
        <v/>
      </c>
      <c r="C47" s="49">
        <f>IF(D11="","-",+C46+1)</f>
        <v>2044</v>
      </c>
      <c r="D47" s="54">
        <f>IF(F46+SUM(E$17:E46)=D$10,F46,D$10-SUM(E$17:E46))</f>
        <v>1985602.0672899392</v>
      </c>
      <c r="E47" s="377">
        <f t="shared" si="29"/>
        <v>674752.83500000008</v>
      </c>
      <c r="F47" s="54">
        <f t="shared" si="30"/>
        <v>1310849.2322899392</v>
      </c>
      <c r="G47" s="378">
        <f t="shared" si="31"/>
        <v>863392.14095965039</v>
      </c>
      <c r="H47" s="359">
        <f t="shared" si="32"/>
        <v>863392.14095965039</v>
      </c>
      <c r="I47" s="51">
        <f t="shared" si="6"/>
        <v>0</v>
      </c>
      <c r="J47" s="51"/>
      <c r="K47" s="112"/>
      <c r="L47" s="53">
        <f t="shared" si="33"/>
        <v>0</v>
      </c>
      <c r="M47" s="112"/>
      <c r="N47" s="53">
        <f t="shared" si="4"/>
        <v>0</v>
      </c>
      <c r="O47" s="53">
        <f t="shared" si="5"/>
        <v>0</v>
      </c>
      <c r="P47" s="1"/>
      <c r="R47" s="1"/>
      <c r="S47" s="1"/>
      <c r="T47" s="1"/>
      <c r="U47" s="1"/>
    </row>
    <row r="48" spans="2:21">
      <c r="B48" t="str">
        <f t="shared" si="0"/>
        <v/>
      </c>
      <c r="C48" s="49">
        <f>IF(D11="","-",+C47+1)</f>
        <v>2045</v>
      </c>
      <c r="D48" s="54">
        <f>IF(F47+SUM(E$17:E47)=D$10,F47,D$10-SUM(E$17:E47))</f>
        <v>1310849.2322899392</v>
      </c>
      <c r="E48" s="377">
        <f t="shared" si="29"/>
        <v>674752.83500000008</v>
      </c>
      <c r="F48" s="54">
        <f t="shared" si="30"/>
        <v>636096.39728993911</v>
      </c>
      <c r="G48" s="378">
        <f t="shared" si="31"/>
        <v>786166.72797998437</v>
      </c>
      <c r="H48" s="359">
        <f t="shared" si="32"/>
        <v>786166.72797998437</v>
      </c>
      <c r="I48" s="51">
        <f t="shared" si="6"/>
        <v>0</v>
      </c>
      <c r="J48" s="51"/>
      <c r="K48" s="112"/>
      <c r="L48" s="53">
        <f t="shared" si="33"/>
        <v>0</v>
      </c>
      <c r="M48" s="112"/>
      <c r="N48" s="53">
        <f t="shared" si="4"/>
        <v>0</v>
      </c>
      <c r="O48" s="53">
        <f t="shared" si="5"/>
        <v>0</v>
      </c>
      <c r="P48" s="1"/>
      <c r="R48" s="1"/>
      <c r="S48" s="1"/>
      <c r="T48" s="1"/>
      <c r="U48" s="1"/>
    </row>
    <row r="49" spans="2:21">
      <c r="B49" t="str">
        <f t="shared" si="0"/>
        <v/>
      </c>
      <c r="C49" s="49">
        <f>IF(D11="","-",+C48+1)</f>
        <v>2046</v>
      </c>
      <c r="D49" s="54">
        <f>IF(F48+SUM(E$17:E48)=D$10,F48,D$10-SUM(E$17:E48))</f>
        <v>636096.39728993911</v>
      </c>
      <c r="E49" s="377">
        <f t="shared" si="29"/>
        <v>636096.39728993911</v>
      </c>
      <c r="F49" s="54">
        <f t="shared" si="30"/>
        <v>0</v>
      </c>
      <c r="G49" s="378">
        <f t="shared" si="31"/>
        <v>672496.99053501477</v>
      </c>
      <c r="H49" s="359">
        <f t="shared" si="32"/>
        <v>672496.99053501477</v>
      </c>
      <c r="I49" s="51">
        <f t="shared" si="6"/>
        <v>0</v>
      </c>
      <c r="J49" s="51"/>
      <c r="K49" s="112"/>
      <c r="L49" s="53">
        <f t="shared" si="33"/>
        <v>0</v>
      </c>
      <c r="M49" s="112"/>
      <c r="N49" s="53">
        <f t="shared" si="4"/>
        <v>0</v>
      </c>
      <c r="O49" s="53">
        <f t="shared" si="5"/>
        <v>0</v>
      </c>
      <c r="P49" s="1"/>
      <c r="R49" s="1"/>
      <c r="S49" s="1"/>
      <c r="T49" s="1"/>
      <c r="U49" s="1"/>
    </row>
    <row r="50" spans="2:21">
      <c r="B50" t="str">
        <f t="shared" si="0"/>
        <v/>
      </c>
      <c r="C50" s="49">
        <f>IF(D11="","-",+C49+1)</f>
        <v>2047</v>
      </c>
      <c r="D50" s="54">
        <f>IF(F49+SUM(E$17:E49)=D$10,F49,D$10-SUM(E$17:E49))</f>
        <v>0</v>
      </c>
      <c r="E50" s="377">
        <f t="shared" si="29"/>
        <v>0</v>
      </c>
      <c r="F50" s="54">
        <f t="shared" si="30"/>
        <v>0</v>
      </c>
      <c r="G50" s="378">
        <f t="shared" si="31"/>
        <v>0</v>
      </c>
      <c r="H50" s="359">
        <f t="shared" si="32"/>
        <v>0</v>
      </c>
      <c r="I50" s="51">
        <f t="shared" si="6"/>
        <v>0</v>
      </c>
      <c r="J50" s="51"/>
      <c r="K50" s="112"/>
      <c r="L50" s="53">
        <f t="shared" si="33"/>
        <v>0</v>
      </c>
      <c r="M50" s="112"/>
      <c r="N50" s="53">
        <f t="shared" si="4"/>
        <v>0</v>
      </c>
      <c r="O50" s="53">
        <f t="shared" si="5"/>
        <v>0</v>
      </c>
      <c r="P50" s="1"/>
      <c r="R50" s="1"/>
      <c r="S50" s="1"/>
      <c r="T50" s="1"/>
      <c r="U50" s="1"/>
    </row>
    <row r="51" spans="2:21">
      <c r="B51" t="str">
        <f t="shared" si="0"/>
        <v/>
      </c>
      <c r="C51" s="49">
        <f>IF(D11="","-",+C50+1)</f>
        <v>2048</v>
      </c>
      <c r="D51" s="54">
        <f>IF(F50+SUM(E$17:E50)=D$10,F50,D$10-SUM(E$17:E50))</f>
        <v>0</v>
      </c>
      <c r="E51" s="377">
        <f t="shared" si="29"/>
        <v>0</v>
      </c>
      <c r="F51" s="54">
        <f t="shared" si="30"/>
        <v>0</v>
      </c>
      <c r="G51" s="378">
        <f t="shared" si="31"/>
        <v>0</v>
      </c>
      <c r="H51" s="359">
        <f t="shared" si="32"/>
        <v>0</v>
      </c>
      <c r="I51" s="51">
        <f t="shared" si="6"/>
        <v>0</v>
      </c>
      <c r="J51" s="51"/>
      <c r="K51" s="112"/>
      <c r="L51" s="53">
        <f t="shared" si="33"/>
        <v>0</v>
      </c>
      <c r="M51" s="112"/>
      <c r="N51" s="53">
        <f t="shared" si="4"/>
        <v>0</v>
      </c>
      <c r="O51" s="53">
        <f t="shared" si="5"/>
        <v>0</v>
      </c>
      <c r="P51" s="1"/>
      <c r="R51" s="1"/>
      <c r="S51" s="1"/>
      <c r="T51" s="1"/>
      <c r="U51" s="1"/>
    </row>
    <row r="52" spans="2:21">
      <c r="B52" t="str">
        <f t="shared" si="0"/>
        <v/>
      </c>
      <c r="C52" s="49">
        <f>IF(D11="","-",+C51+1)</f>
        <v>2049</v>
      </c>
      <c r="D52" s="54">
        <f>IF(F51+SUM(E$17:E51)=D$10,F51,D$10-SUM(E$17:E51))</f>
        <v>0</v>
      </c>
      <c r="E52" s="377">
        <f t="shared" si="29"/>
        <v>0</v>
      </c>
      <c r="F52" s="54">
        <f t="shared" si="30"/>
        <v>0</v>
      </c>
      <c r="G52" s="378">
        <f t="shared" si="31"/>
        <v>0</v>
      </c>
      <c r="H52" s="359">
        <f t="shared" si="32"/>
        <v>0</v>
      </c>
      <c r="I52" s="51">
        <f t="shared" si="6"/>
        <v>0</v>
      </c>
      <c r="J52" s="51"/>
      <c r="K52" s="112"/>
      <c r="L52" s="53">
        <f t="shared" si="33"/>
        <v>0</v>
      </c>
      <c r="M52" s="112"/>
      <c r="N52" s="53">
        <f t="shared" si="4"/>
        <v>0</v>
      </c>
      <c r="O52" s="53">
        <f t="shared" si="5"/>
        <v>0</v>
      </c>
      <c r="P52" s="1"/>
      <c r="R52" s="1"/>
      <c r="S52" s="1"/>
      <c r="T52" s="1"/>
      <c r="U52" s="1"/>
    </row>
    <row r="53" spans="2:21">
      <c r="B53" t="str">
        <f t="shared" si="0"/>
        <v/>
      </c>
      <c r="C53" s="49">
        <f>IF(D11="","-",+C52+1)</f>
        <v>2050</v>
      </c>
      <c r="D53" s="54">
        <f>IF(F52+SUM(E$17:E52)=D$10,F52,D$10-SUM(E$17:E52))</f>
        <v>0</v>
      </c>
      <c r="E53" s="377">
        <f t="shared" si="29"/>
        <v>0</v>
      </c>
      <c r="F53" s="54">
        <f t="shared" si="30"/>
        <v>0</v>
      </c>
      <c r="G53" s="378">
        <f t="shared" si="31"/>
        <v>0</v>
      </c>
      <c r="H53" s="359">
        <f t="shared" si="32"/>
        <v>0</v>
      </c>
      <c r="I53" s="51">
        <f t="shared" si="6"/>
        <v>0</v>
      </c>
      <c r="J53" s="51"/>
      <c r="K53" s="112"/>
      <c r="L53" s="53">
        <f t="shared" si="33"/>
        <v>0</v>
      </c>
      <c r="M53" s="112"/>
      <c r="N53" s="53">
        <f t="shared" si="4"/>
        <v>0</v>
      </c>
      <c r="O53" s="53">
        <f t="shared" si="5"/>
        <v>0</v>
      </c>
      <c r="P53" s="1"/>
      <c r="R53" s="1"/>
      <c r="S53" s="1"/>
      <c r="T53" s="1"/>
      <c r="U53" s="1"/>
    </row>
    <row r="54" spans="2:21">
      <c r="B54" t="str">
        <f t="shared" si="0"/>
        <v/>
      </c>
      <c r="C54" s="49">
        <f>IF(D11="","-",+C53+1)</f>
        <v>2051</v>
      </c>
      <c r="D54" s="54">
        <f>IF(F53+SUM(E$17:E53)=D$10,F53,D$10-SUM(E$17:E53))</f>
        <v>0</v>
      </c>
      <c r="E54" s="377">
        <f t="shared" si="29"/>
        <v>0</v>
      </c>
      <c r="F54" s="54">
        <f t="shared" si="30"/>
        <v>0</v>
      </c>
      <c r="G54" s="378">
        <f t="shared" si="31"/>
        <v>0</v>
      </c>
      <c r="H54" s="359">
        <f t="shared" si="32"/>
        <v>0</v>
      </c>
      <c r="I54" s="51">
        <f t="shared" si="6"/>
        <v>0</v>
      </c>
      <c r="J54" s="51"/>
      <c r="K54" s="112"/>
      <c r="L54" s="53">
        <f t="shared" si="33"/>
        <v>0</v>
      </c>
      <c r="M54" s="112"/>
      <c r="N54" s="53">
        <f t="shared" si="4"/>
        <v>0</v>
      </c>
      <c r="O54" s="53">
        <f t="shared" si="5"/>
        <v>0</v>
      </c>
      <c r="P54" s="1"/>
      <c r="R54" s="1"/>
      <c r="S54" s="1"/>
      <c r="T54" s="1"/>
      <c r="U54" s="1"/>
    </row>
    <row r="55" spans="2:21">
      <c r="B55" t="str">
        <f t="shared" si="0"/>
        <v/>
      </c>
      <c r="C55" s="49">
        <f>IF(D11="","-",+C54+1)</f>
        <v>2052</v>
      </c>
      <c r="D55" s="54">
        <f>IF(F54+SUM(E$17:E54)=D$10,F54,D$10-SUM(E$17:E54))</f>
        <v>0</v>
      </c>
      <c r="E55" s="377">
        <f t="shared" si="29"/>
        <v>0</v>
      </c>
      <c r="F55" s="54">
        <f t="shared" si="30"/>
        <v>0</v>
      </c>
      <c r="G55" s="378">
        <f t="shared" si="31"/>
        <v>0</v>
      </c>
      <c r="H55" s="359">
        <f t="shared" si="32"/>
        <v>0</v>
      </c>
      <c r="I55" s="51">
        <f t="shared" si="6"/>
        <v>0</v>
      </c>
      <c r="J55" s="51"/>
      <c r="K55" s="112"/>
      <c r="L55" s="53">
        <f t="shared" si="33"/>
        <v>0</v>
      </c>
      <c r="M55" s="112"/>
      <c r="N55" s="53">
        <f t="shared" si="4"/>
        <v>0</v>
      </c>
      <c r="O55" s="53">
        <f t="shared" si="5"/>
        <v>0</v>
      </c>
      <c r="P55" s="1"/>
      <c r="R55" s="1"/>
      <c r="S55" s="1"/>
      <c r="T55" s="1"/>
      <c r="U55" s="1"/>
    </row>
    <row r="56" spans="2:21">
      <c r="B56" t="str">
        <f t="shared" si="0"/>
        <v/>
      </c>
      <c r="C56" s="49">
        <f>IF(D11="","-",+C55+1)</f>
        <v>2053</v>
      </c>
      <c r="D56" s="54">
        <f>IF(F55+SUM(E$17:E55)=D$10,F55,D$10-SUM(E$17:E55))</f>
        <v>0</v>
      </c>
      <c r="E56" s="377">
        <f t="shared" si="29"/>
        <v>0</v>
      </c>
      <c r="F56" s="54">
        <f t="shared" si="30"/>
        <v>0</v>
      </c>
      <c r="G56" s="378">
        <f t="shared" si="31"/>
        <v>0</v>
      </c>
      <c r="H56" s="359">
        <f t="shared" si="32"/>
        <v>0</v>
      </c>
      <c r="I56" s="51">
        <f t="shared" si="6"/>
        <v>0</v>
      </c>
      <c r="J56" s="51"/>
      <c r="K56" s="112"/>
      <c r="L56" s="53">
        <f t="shared" si="33"/>
        <v>0</v>
      </c>
      <c r="M56" s="112"/>
      <c r="N56" s="53">
        <f t="shared" si="4"/>
        <v>0</v>
      </c>
      <c r="O56" s="53">
        <f t="shared" si="5"/>
        <v>0</v>
      </c>
      <c r="P56" s="1"/>
      <c r="R56" s="1"/>
      <c r="S56" s="1"/>
      <c r="T56" s="1"/>
      <c r="U56" s="1"/>
    </row>
    <row r="57" spans="2:21">
      <c r="B57" t="str">
        <f t="shared" si="0"/>
        <v/>
      </c>
      <c r="C57" s="49">
        <f>IF(D11="","-",+C56+1)</f>
        <v>2054</v>
      </c>
      <c r="D57" s="54">
        <f>IF(F56+SUM(E$17:E56)=D$10,F56,D$10-SUM(E$17:E56))</f>
        <v>0</v>
      </c>
      <c r="E57" s="377">
        <f t="shared" si="29"/>
        <v>0</v>
      </c>
      <c r="F57" s="54">
        <f t="shared" si="30"/>
        <v>0</v>
      </c>
      <c r="G57" s="378">
        <f t="shared" si="31"/>
        <v>0</v>
      </c>
      <c r="H57" s="359">
        <f t="shared" si="32"/>
        <v>0</v>
      </c>
      <c r="I57" s="51">
        <f t="shared" si="6"/>
        <v>0</v>
      </c>
      <c r="J57" s="51"/>
      <c r="K57" s="112"/>
      <c r="L57" s="53">
        <f t="shared" si="33"/>
        <v>0</v>
      </c>
      <c r="M57" s="112"/>
      <c r="N57" s="53">
        <f t="shared" si="4"/>
        <v>0</v>
      </c>
      <c r="O57" s="53">
        <f t="shared" si="5"/>
        <v>0</v>
      </c>
      <c r="P57" s="1"/>
      <c r="R57" s="1"/>
      <c r="S57" s="1"/>
      <c r="T57" s="1"/>
      <c r="U57" s="1"/>
    </row>
    <row r="58" spans="2:21">
      <c r="B58" t="str">
        <f t="shared" si="0"/>
        <v/>
      </c>
      <c r="C58" s="49">
        <f>IF(D11="","-",+C57+1)</f>
        <v>2055</v>
      </c>
      <c r="D58" s="54">
        <f>IF(F57+SUM(E$17:E57)=D$10,F57,D$10-SUM(E$17:E57))</f>
        <v>0</v>
      </c>
      <c r="E58" s="377">
        <f t="shared" si="29"/>
        <v>0</v>
      </c>
      <c r="F58" s="54">
        <f t="shared" si="30"/>
        <v>0</v>
      </c>
      <c r="G58" s="378">
        <f t="shared" si="31"/>
        <v>0</v>
      </c>
      <c r="H58" s="359">
        <f t="shared" si="32"/>
        <v>0</v>
      </c>
      <c r="I58" s="51">
        <f t="shared" si="6"/>
        <v>0</v>
      </c>
      <c r="J58" s="51"/>
      <c r="K58" s="112"/>
      <c r="L58" s="53">
        <f t="shared" si="33"/>
        <v>0</v>
      </c>
      <c r="M58" s="112"/>
      <c r="N58" s="53">
        <f t="shared" si="4"/>
        <v>0</v>
      </c>
      <c r="O58" s="53">
        <f t="shared" si="5"/>
        <v>0</v>
      </c>
      <c r="P58" s="1"/>
      <c r="R58" s="1"/>
      <c r="S58" s="1"/>
      <c r="T58" s="1"/>
      <c r="U58" s="1"/>
    </row>
    <row r="59" spans="2:21">
      <c r="B59" t="str">
        <f t="shared" si="0"/>
        <v/>
      </c>
      <c r="C59" s="49">
        <f>IF(D11="","-",+C58+1)</f>
        <v>2056</v>
      </c>
      <c r="D59" s="54">
        <f>IF(F58+SUM(E$17:E58)=D$10,F58,D$10-SUM(E$17:E58))</f>
        <v>0</v>
      </c>
      <c r="E59" s="377">
        <f t="shared" si="29"/>
        <v>0</v>
      </c>
      <c r="F59" s="54">
        <f t="shared" si="30"/>
        <v>0</v>
      </c>
      <c r="G59" s="378">
        <f t="shared" si="31"/>
        <v>0</v>
      </c>
      <c r="H59" s="359">
        <f t="shared" si="32"/>
        <v>0</v>
      </c>
      <c r="I59" s="51">
        <f t="shared" si="6"/>
        <v>0</v>
      </c>
      <c r="J59" s="51"/>
      <c r="K59" s="112"/>
      <c r="L59" s="53">
        <f t="shared" si="33"/>
        <v>0</v>
      </c>
      <c r="M59" s="112"/>
      <c r="N59" s="53">
        <f t="shared" si="4"/>
        <v>0</v>
      </c>
      <c r="O59" s="53">
        <f t="shared" si="5"/>
        <v>0</v>
      </c>
      <c r="P59" s="1"/>
      <c r="R59" s="1"/>
      <c r="S59" s="1"/>
      <c r="T59" s="1"/>
      <c r="U59" s="1"/>
    </row>
    <row r="60" spans="2:21">
      <c r="B60" t="str">
        <f t="shared" si="0"/>
        <v/>
      </c>
      <c r="C60" s="49">
        <f>IF(D11="","-",+C59+1)</f>
        <v>2057</v>
      </c>
      <c r="D60" s="54">
        <f>IF(F59+SUM(E$17:E59)=D$10,F59,D$10-SUM(E$17:E59))</f>
        <v>0</v>
      </c>
      <c r="E60" s="377">
        <f t="shared" si="29"/>
        <v>0</v>
      </c>
      <c r="F60" s="54">
        <f t="shared" si="30"/>
        <v>0</v>
      </c>
      <c r="G60" s="378">
        <f t="shared" si="31"/>
        <v>0</v>
      </c>
      <c r="H60" s="359">
        <f t="shared" si="32"/>
        <v>0</v>
      </c>
      <c r="I60" s="51">
        <f t="shared" si="6"/>
        <v>0</v>
      </c>
      <c r="J60" s="51"/>
      <c r="K60" s="112"/>
      <c r="L60" s="53">
        <f t="shared" si="33"/>
        <v>0</v>
      </c>
      <c r="M60" s="112"/>
      <c r="N60" s="53">
        <f t="shared" si="4"/>
        <v>0</v>
      </c>
      <c r="O60" s="53">
        <f t="shared" si="5"/>
        <v>0</v>
      </c>
      <c r="P60" s="1"/>
      <c r="R60" s="1"/>
      <c r="S60" s="1"/>
      <c r="T60" s="1"/>
      <c r="U60" s="1"/>
    </row>
    <row r="61" spans="2:21">
      <c r="B61" t="str">
        <f t="shared" si="0"/>
        <v/>
      </c>
      <c r="C61" s="49">
        <f>IF(D11="","-",+C60+1)</f>
        <v>2058</v>
      </c>
      <c r="D61" s="54">
        <f>IF(F60+SUM(E$17:E60)=D$10,F60,D$10-SUM(E$17:E60))</f>
        <v>0</v>
      </c>
      <c r="E61" s="377">
        <f t="shared" si="29"/>
        <v>0</v>
      </c>
      <c r="F61" s="54">
        <f t="shared" si="30"/>
        <v>0</v>
      </c>
      <c r="G61" s="378">
        <f t="shared" si="31"/>
        <v>0</v>
      </c>
      <c r="H61" s="359">
        <f t="shared" si="32"/>
        <v>0</v>
      </c>
      <c r="I61" s="51">
        <f t="shared" si="6"/>
        <v>0</v>
      </c>
      <c r="J61" s="51"/>
      <c r="K61" s="112"/>
      <c r="L61" s="53">
        <f t="shared" si="33"/>
        <v>0</v>
      </c>
      <c r="M61" s="112"/>
      <c r="N61" s="53">
        <f t="shared" si="4"/>
        <v>0</v>
      </c>
      <c r="O61" s="53">
        <f t="shared" si="5"/>
        <v>0</v>
      </c>
      <c r="P61" s="1"/>
      <c r="R61" s="1"/>
      <c r="S61" s="1"/>
      <c r="T61" s="1"/>
      <c r="U61" s="1"/>
    </row>
    <row r="62" spans="2:21">
      <c r="B62" t="str">
        <f t="shared" si="0"/>
        <v/>
      </c>
      <c r="C62" s="49">
        <f>IF(D11="","-",+C61+1)</f>
        <v>2059</v>
      </c>
      <c r="D62" s="54">
        <f>IF(F61+SUM(E$17:E61)=D$10,F61,D$10-SUM(E$17:E61))</f>
        <v>0</v>
      </c>
      <c r="E62" s="377">
        <f t="shared" si="29"/>
        <v>0</v>
      </c>
      <c r="F62" s="54">
        <f t="shared" si="30"/>
        <v>0</v>
      </c>
      <c r="G62" s="378">
        <f t="shared" si="31"/>
        <v>0</v>
      </c>
      <c r="H62" s="359">
        <f t="shared" si="32"/>
        <v>0</v>
      </c>
      <c r="I62" s="51">
        <f t="shared" si="6"/>
        <v>0</v>
      </c>
      <c r="J62" s="51"/>
      <c r="K62" s="112"/>
      <c r="L62" s="53">
        <f t="shared" si="33"/>
        <v>0</v>
      </c>
      <c r="M62" s="112"/>
      <c r="N62" s="53">
        <f t="shared" si="4"/>
        <v>0</v>
      </c>
      <c r="O62" s="53">
        <f t="shared" si="5"/>
        <v>0</v>
      </c>
      <c r="P62" s="1"/>
      <c r="R62" s="1"/>
      <c r="S62" s="1"/>
      <c r="T62" s="1"/>
      <c r="U62" s="1"/>
    </row>
    <row r="63" spans="2:21">
      <c r="B63" t="str">
        <f t="shared" si="0"/>
        <v/>
      </c>
      <c r="C63" s="49">
        <f>IF(D11="","-",+C62+1)</f>
        <v>2060</v>
      </c>
      <c r="D63" s="54">
        <f>IF(F62+SUM(E$17:E62)=D$10,F62,D$10-SUM(E$17:E62))</f>
        <v>0</v>
      </c>
      <c r="E63" s="377">
        <f t="shared" si="29"/>
        <v>0</v>
      </c>
      <c r="F63" s="54">
        <f t="shared" si="30"/>
        <v>0</v>
      </c>
      <c r="G63" s="378">
        <f t="shared" si="31"/>
        <v>0</v>
      </c>
      <c r="H63" s="359">
        <f t="shared" si="32"/>
        <v>0</v>
      </c>
      <c r="I63" s="51">
        <f t="shared" si="6"/>
        <v>0</v>
      </c>
      <c r="J63" s="51"/>
      <c r="K63" s="112"/>
      <c r="L63" s="53">
        <f t="shared" si="33"/>
        <v>0</v>
      </c>
      <c r="M63" s="112"/>
      <c r="N63" s="53">
        <f t="shared" si="4"/>
        <v>0</v>
      </c>
      <c r="O63" s="53">
        <f t="shared" si="5"/>
        <v>0</v>
      </c>
      <c r="P63" s="1"/>
      <c r="R63" s="1"/>
      <c r="S63" s="1"/>
      <c r="T63" s="1"/>
      <c r="U63" s="1"/>
    </row>
    <row r="64" spans="2:21">
      <c r="B64" t="str">
        <f t="shared" si="0"/>
        <v/>
      </c>
      <c r="C64" s="49">
        <f>IF(D11="","-",+C63+1)</f>
        <v>2061</v>
      </c>
      <c r="D64" s="54">
        <f>IF(F63+SUM(E$17:E63)=D$10,F63,D$10-SUM(E$17:E63))</f>
        <v>0</v>
      </c>
      <c r="E64" s="377">
        <f t="shared" si="29"/>
        <v>0</v>
      </c>
      <c r="F64" s="54">
        <f t="shared" si="30"/>
        <v>0</v>
      </c>
      <c r="G64" s="378">
        <f t="shared" si="31"/>
        <v>0</v>
      </c>
      <c r="H64" s="359">
        <f t="shared" si="32"/>
        <v>0</v>
      </c>
      <c r="I64" s="51">
        <f t="shared" si="6"/>
        <v>0</v>
      </c>
      <c r="J64" s="51"/>
      <c r="K64" s="112"/>
      <c r="L64" s="53">
        <f t="shared" si="33"/>
        <v>0</v>
      </c>
      <c r="M64" s="112"/>
      <c r="N64" s="53">
        <f t="shared" si="4"/>
        <v>0</v>
      </c>
      <c r="O64" s="53">
        <f t="shared" si="5"/>
        <v>0</v>
      </c>
      <c r="P64" s="1"/>
      <c r="R64" s="1"/>
      <c r="S64" s="1"/>
      <c r="T64" s="1"/>
      <c r="U64" s="1"/>
    </row>
    <row r="65" spans="2:21">
      <c r="B65" t="str">
        <f t="shared" si="0"/>
        <v/>
      </c>
      <c r="C65" s="49">
        <f>IF(D11="","-",+C64+1)</f>
        <v>2062</v>
      </c>
      <c r="D65" s="54">
        <f>IF(F64+SUM(E$17:E64)=D$10,F64,D$10-SUM(E$17:E64))</f>
        <v>0</v>
      </c>
      <c r="E65" s="377">
        <f t="shared" si="29"/>
        <v>0</v>
      </c>
      <c r="F65" s="54">
        <f t="shared" si="30"/>
        <v>0</v>
      </c>
      <c r="G65" s="378">
        <f t="shared" si="31"/>
        <v>0</v>
      </c>
      <c r="H65" s="359">
        <f t="shared" si="32"/>
        <v>0</v>
      </c>
      <c r="I65" s="51">
        <f t="shared" si="6"/>
        <v>0</v>
      </c>
      <c r="J65" s="51"/>
      <c r="K65" s="112"/>
      <c r="L65" s="53">
        <f t="shared" si="33"/>
        <v>0</v>
      </c>
      <c r="M65" s="112"/>
      <c r="N65" s="53">
        <f t="shared" si="4"/>
        <v>0</v>
      </c>
      <c r="O65" s="53">
        <f t="shared" si="5"/>
        <v>0</v>
      </c>
      <c r="P65" s="1"/>
      <c r="R65" s="1"/>
      <c r="S65" s="1"/>
      <c r="T65" s="1"/>
      <c r="U65" s="1"/>
    </row>
    <row r="66" spans="2:21">
      <c r="B66" t="str">
        <f t="shared" si="0"/>
        <v/>
      </c>
      <c r="C66" s="49">
        <f>IF(D11="","-",+C65+1)</f>
        <v>2063</v>
      </c>
      <c r="D66" s="54">
        <f>IF(F65+SUM(E$17:E65)=D$10,F65,D$10-SUM(E$17:E65))</f>
        <v>0</v>
      </c>
      <c r="E66" s="377">
        <f t="shared" si="29"/>
        <v>0</v>
      </c>
      <c r="F66" s="54">
        <f t="shared" si="30"/>
        <v>0</v>
      </c>
      <c r="G66" s="378">
        <f t="shared" si="31"/>
        <v>0</v>
      </c>
      <c r="H66" s="359">
        <f t="shared" si="32"/>
        <v>0</v>
      </c>
      <c r="I66" s="51">
        <f t="shared" si="6"/>
        <v>0</v>
      </c>
      <c r="J66" s="51"/>
      <c r="K66" s="112"/>
      <c r="L66" s="53">
        <f t="shared" si="33"/>
        <v>0</v>
      </c>
      <c r="M66" s="112"/>
      <c r="N66" s="53">
        <f t="shared" si="4"/>
        <v>0</v>
      </c>
      <c r="O66" s="53">
        <f t="shared" si="5"/>
        <v>0</v>
      </c>
      <c r="P66" s="1"/>
      <c r="R66" s="1"/>
      <c r="S66" s="1"/>
      <c r="T66" s="1"/>
      <c r="U66" s="1"/>
    </row>
    <row r="67" spans="2:21">
      <c r="B67" t="str">
        <f t="shared" si="0"/>
        <v/>
      </c>
      <c r="C67" s="49">
        <f>IF(D11="","-",+C66+1)</f>
        <v>2064</v>
      </c>
      <c r="D67" s="54">
        <f>IF(F66+SUM(E$17:E66)=D$10,F66,D$10-SUM(E$17:E66))</f>
        <v>0</v>
      </c>
      <c r="E67" s="377">
        <f t="shared" si="29"/>
        <v>0</v>
      </c>
      <c r="F67" s="54">
        <f t="shared" si="30"/>
        <v>0</v>
      </c>
      <c r="G67" s="378">
        <f t="shared" si="31"/>
        <v>0</v>
      </c>
      <c r="H67" s="359">
        <f t="shared" si="32"/>
        <v>0</v>
      </c>
      <c r="I67" s="51">
        <f t="shared" si="6"/>
        <v>0</v>
      </c>
      <c r="J67" s="51"/>
      <c r="K67" s="112"/>
      <c r="L67" s="53">
        <f t="shared" si="33"/>
        <v>0</v>
      </c>
      <c r="M67" s="112"/>
      <c r="N67" s="53">
        <f t="shared" si="4"/>
        <v>0</v>
      </c>
      <c r="O67" s="53">
        <f t="shared" si="5"/>
        <v>0</v>
      </c>
      <c r="P67" s="1"/>
      <c r="R67" s="1"/>
      <c r="S67" s="1"/>
      <c r="T67" s="1"/>
      <c r="U67" s="1"/>
    </row>
    <row r="68" spans="2:21">
      <c r="B68" t="str">
        <f t="shared" si="0"/>
        <v/>
      </c>
      <c r="C68" s="49">
        <f>IF(D11="","-",+C67+1)</f>
        <v>2065</v>
      </c>
      <c r="D68" s="54">
        <f>IF(F67+SUM(E$17:E67)=D$10,F67,D$10-SUM(E$17:E67))</f>
        <v>0</v>
      </c>
      <c r="E68" s="377">
        <f t="shared" si="29"/>
        <v>0</v>
      </c>
      <c r="F68" s="54">
        <f t="shared" si="30"/>
        <v>0</v>
      </c>
      <c r="G68" s="378">
        <f t="shared" si="31"/>
        <v>0</v>
      </c>
      <c r="H68" s="359">
        <f t="shared" si="32"/>
        <v>0</v>
      </c>
      <c r="I68" s="51">
        <f t="shared" si="6"/>
        <v>0</v>
      </c>
      <c r="J68" s="51"/>
      <c r="K68" s="112"/>
      <c r="L68" s="53">
        <f t="shared" si="33"/>
        <v>0</v>
      </c>
      <c r="M68" s="112"/>
      <c r="N68" s="53">
        <f t="shared" si="4"/>
        <v>0</v>
      </c>
      <c r="O68" s="53">
        <f t="shared" si="5"/>
        <v>0</v>
      </c>
      <c r="P68" s="1"/>
      <c r="R68" s="1"/>
      <c r="S68" s="1"/>
      <c r="T68" s="1"/>
      <c r="U68" s="1"/>
    </row>
    <row r="69" spans="2:21">
      <c r="B69" t="str">
        <f t="shared" si="0"/>
        <v/>
      </c>
      <c r="C69" s="49">
        <f>IF(D11="","-",+C68+1)</f>
        <v>2066</v>
      </c>
      <c r="D69" s="54">
        <f>IF(F68+SUM(E$17:E68)=D$10,F68,D$10-SUM(E$17:E68))</f>
        <v>0</v>
      </c>
      <c r="E69" s="377">
        <f t="shared" si="29"/>
        <v>0</v>
      </c>
      <c r="F69" s="54">
        <f t="shared" si="30"/>
        <v>0</v>
      </c>
      <c r="G69" s="378">
        <f t="shared" si="31"/>
        <v>0</v>
      </c>
      <c r="H69" s="359">
        <f t="shared" si="32"/>
        <v>0</v>
      </c>
      <c r="I69" s="51">
        <f t="shared" si="6"/>
        <v>0</v>
      </c>
      <c r="J69" s="51"/>
      <c r="K69" s="112"/>
      <c r="L69" s="53">
        <f t="shared" si="33"/>
        <v>0</v>
      </c>
      <c r="M69" s="112"/>
      <c r="N69" s="53">
        <f t="shared" si="4"/>
        <v>0</v>
      </c>
      <c r="O69" s="53">
        <f t="shared" si="5"/>
        <v>0</v>
      </c>
      <c r="P69" s="1"/>
      <c r="R69" s="1"/>
      <c r="S69" s="1"/>
      <c r="T69" s="1"/>
      <c r="U69" s="1"/>
    </row>
    <row r="70" spans="2:21">
      <c r="B70" t="str">
        <f t="shared" si="0"/>
        <v/>
      </c>
      <c r="C70" s="49">
        <f>IF(D11="","-",+C69+1)</f>
        <v>2067</v>
      </c>
      <c r="D70" s="54">
        <f>IF(F69+SUM(E$17:E69)=D$10,F69,D$10-SUM(E$17:E69))</f>
        <v>0</v>
      </c>
      <c r="E70" s="377">
        <f t="shared" si="29"/>
        <v>0</v>
      </c>
      <c r="F70" s="54">
        <f t="shared" si="30"/>
        <v>0</v>
      </c>
      <c r="G70" s="378">
        <f t="shared" si="31"/>
        <v>0</v>
      </c>
      <c r="H70" s="359">
        <f t="shared" si="32"/>
        <v>0</v>
      </c>
      <c r="I70" s="51">
        <f t="shared" si="6"/>
        <v>0</v>
      </c>
      <c r="J70" s="51"/>
      <c r="K70" s="112"/>
      <c r="L70" s="53">
        <f t="shared" si="33"/>
        <v>0</v>
      </c>
      <c r="M70" s="112"/>
      <c r="N70" s="53">
        <f t="shared" si="4"/>
        <v>0</v>
      </c>
      <c r="O70" s="53">
        <f t="shared" si="5"/>
        <v>0</v>
      </c>
      <c r="P70" s="1"/>
      <c r="R70" s="1"/>
      <c r="S70" s="1"/>
      <c r="T70" s="1"/>
      <c r="U70" s="1"/>
    </row>
    <row r="71" spans="2:21">
      <c r="B71" t="str">
        <f t="shared" si="0"/>
        <v/>
      </c>
      <c r="C71" s="49">
        <f>IF(D11="","-",+C70+1)</f>
        <v>2068</v>
      </c>
      <c r="D71" s="54">
        <f>IF(F70+SUM(E$17:E70)=D$10,F70,D$10-SUM(E$17:E70))</f>
        <v>0</v>
      </c>
      <c r="E71" s="377">
        <f t="shared" si="29"/>
        <v>0</v>
      </c>
      <c r="F71" s="54">
        <f t="shared" si="30"/>
        <v>0</v>
      </c>
      <c r="G71" s="378">
        <f t="shared" si="31"/>
        <v>0</v>
      </c>
      <c r="H71" s="359">
        <f t="shared" si="32"/>
        <v>0</v>
      </c>
      <c r="I71" s="51">
        <f t="shared" si="6"/>
        <v>0</v>
      </c>
      <c r="J71" s="51"/>
      <c r="K71" s="112"/>
      <c r="L71" s="53">
        <f t="shared" si="33"/>
        <v>0</v>
      </c>
      <c r="M71" s="112"/>
      <c r="N71" s="53">
        <f t="shared" si="4"/>
        <v>0</v>
      </c>
      <c r="O71" s="53">
        <f t="shared" si="5"/>
        <v>0</v>
      </c>
      <c r="P71" s="1"/>
      <c r="R71" s="1"/>
      <c r="S71" s="1"/>
      <c r="T71" s="1"/>
      <c r="U71" s="1"/>
    </row>
    <row r="72" spans="2:21">
      <c r="B72" t="str">
        <f t="shared" si="0"/>
        <v/>
      </c>
      <c r="C72" s="49">
        <f>IF(D11="","-",+C71+1)</f>
        <v>2069</v>
      </c>
      <c r="D72" s="54">
        <f>IF(F71+SUM(E$17:E71)=D$10,F71,D$10-SUM(E$17:E71))</f>
        <v>0</v>
      </c>
      <c r="E72" s="377">
        <f t="shared" si="29"/>
        <v>0</v>
      </c>
      <c r="F72" s="54">
        <f t="shared" si="30"/>
        <v>0</v>
      </c>
      <c r="G72" s="378">
        <f t="shared" si="31"/>
        <v>0</v>
      </c>
      <c r="H72" s="359">
        <f t="shared" si="32"/>
        <v>0</v>
      </c>
      <c r="I72" s="51">
        <f t="shared" si="6"/>
        <v>0</v>
      </c>
      <c r="J72" s="51"/>
      <c r="K72" s="112"/>
      <c r="L72" s="53">
        <f t="shared" si="33"/>
        <v>0</v>
      </c>
      <c r="M72" s="112"/>
      <c r="N72" s="53">
        <f t="shared" si="4"/>
        <v>0</v>
      </c>
      <c r="O72" s="53">
        <f t="shared" si="5"/>
        <v>0</v>
      </c>
      <c r="P72" s="1"/>
      <c r="R72" s="1"/>
      <c r="S72" s="1"/>
      <c r="T72" s="1"/>
      <c r="U72" s="1"/>
    </row>
    <row r="73" spans="2:21" ht="13.5" thickBot="1">
      <c r="B73" t="str">
        <f t="shared" si="0"/>
        <v/>
      </c>
      <c r="C73" s="58">
        <f>IF(D11="","-",+C72+1)</f>
        <v>2070</v>
      </c>
      <c r="D73" s="59">
        <f>IF(F72+SUM(E$17:E72)=D$10,F72,D$10-SUM(E$17:E72))</f>
        <v>0</v>
      </c>
      <c r="E73" s="389">
        <f t="shared" si="29"/>
        <v>0</v>
      </c>
      <c r="F73" s="59">
        <f t="shared" si="30"/>
        <v>0</v>
      </c>
      <c r="G73" s="59">
        <f t="shared" si="31"/>
        <v>0</v>
      </c>
      <c r="H73" s="59">
        <f t="shared" si="32"/>
        <v>0</v>
      </c>
      <c r="I73" s="62">
        <f t="shared" si="6"/>
        <v>0</v>
      </c>
      <c r="J73" s="51"/>
      <c r="K73" s="113"/>
      <c r="L73" s="63">
        <f t="shared" si="33"/>
        <v>0</v>
      </c>
      <c r="M73" s="113"/>
      <c r="N73" s="63">
        <f t="shared" si="4"/>
        <v>0</v>
      </c>
      <c r="O73" s="63">
        <f t="shared" si="5"/>
        <v>0</v>
      </c>
      <c r="P73" s="1"/>
      <c r="R73" s="1"/>
      <c r="S73" s="1"/>
      <c r="T73" s="1"/>
      <c r="U73" s="1"/>
    </row>
    <row r="74" spans="2:21">
      <c r="C74" s="11" t="s">
        <v>75</v>
      </c>
      <c r="D74" s="242"/>
      <c r="E74" s="242">
        <f>SUM(E17:E73)</f>
        <v>20242585.050000004</v>
      </c>
      <c r="F74" s="242"/>
      <c r="G74" s="242">
        <f>SUM(G17:G73)</f>
        <v>58238750.280714072</v>
      </c>
      <c r="H74" s="242">
        <f>SUM(H17:H73)</f>
        <v>58238750.280714072</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11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2330674.9875733056</v>
      </c>
      <c r="N88" s="396">
        <f>IF(J93&lt;D11,0,VLOOKUP(J93,C17:O73,11))</f>
        <v>2330674.9875733056</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2064200.0747061009</v>
      </c>
      <c r="N89" s="399">
        <f>IF(J93&lt;D11,0,VLOOKUP(J93,C100:P155,7))</f>
        <v>2064200.0747061009</v>
      </c>
      <c r="O89" s="70">
        <f>+N89-M89</f>
        <v>0</v>
      </c>
      <c r="P89" s="1"/>
      <c r="Q89" s="1"/>
      <c r="R89" s="1"/>
      <c r="S89" s="1"/>
      <c r="T89" s="1"/>
      <c r="U89" s="1"/>
    </row>
    <row r="90" spans="1:21" ht="13.5" thickBot="1">
      <c r="C90" s="25" t="s">
        <v>82</v>
      </c>
      <c r="D90" s="96" t="str">
        <f>+D7</f>
        <v>Grady Customer Connection</v>
      </c>
      <c r="E90" s="1"/>
      <c r="F90" s="1"/>
      <c r="G90" s="1"/>
      <c r="H90" s="1"/>
      <c r="I90" s="260"/>
      <c r="J90" s="260"/>
      <c r="K90" s="400"/>
      <c r="L90" s="109" t="s">
        <v>135</v>
      </c>
      <c r="M90" s="401">
        <f>+M89-M88</f>
        <v>-266474.91286720475</v>
      </c>
      <c r="N90" s="401">
        <f>+N89-N88</f>
        <v>-266474.91286720475</v>
      </c>
      <c r="O90" s="402">
        <f>+O89-O88</f>
        <v>0</v>
      </c>
      <c r="P90" s="1"/>
      <c r="Q90" s="1"/>
      <c r="R90" s="1"/>
      <c r="S90" s="1"/>
      <c r="T90" s="1"/>
      <c r="U90" s="1"/>
    </row>
    <row r="91" spans="1:21" ht="13.5" thickBot="1">
      <c r="C91" s="29"/>
      <c r="D91" s="444" t="str">
        <f>IF(D8="","",D8)</f>
        <v>***Sch. 11 recovery commenced in 2015 rate year***</v>
      </c>
      <c r="E91" s="11"/>
      <c r="F91" s="11"/>
      <c r="G91" s="11"/>
      <c r="H91" s="10"/>
      <c r="I91" s="260"/>
      <c r="J91" s="260"/>
      <c r="K91" s="242"/>
      <c r="L91" s="260"/>
      <c r="M91" s="260"/>
      <c r="N91" s="260"/>
      <c r="O91" s="242"/>
      <c r="P91" s="1"/>
      <c r="Q91" s="1"/>
      <c r="R91" s="1"/>
      <c r="S91" s="1"/>
      <c r="T91" s="1"/>
      <c r="U91" s="1"/>
    </row>
    <row r="92" spans="1:21" ht="13.5" thickBot="1">
      <c r="C92" s="74" t="s">
        <v>83</v>
      </c>
      <c r="D92" s="88" t="str">
        <f>+D9</f>
        <v>TP2013002</v>
      </c>
      <c r="E92" s="75" t="s">
        <v>310</v>
      </c>
      <c r="F92" s="75" t="str">
        <f>F9</f>
        <v>30748 &amp; 30747</v>
      </c>
      <c r="G92" s="75"/>
      <c r="H92" s="75"/>
      <c r="I92" s="75"/>
      <c r="J92" s="75"/>
      <c r="Q92" s="1"/>
      <c r="R92" s="1"/>
      <c r="S92" s="1"/>
      <c r="T92" s="1"/>
      <c r="U92" s="1"/>
    </row>
    <row r="93" spans="1:21">
      <c r="C93" s="34" t="s">
        <v>49</v>
      </c>
      <c r="D93" s="442">
        <v>20242585.050000001</v>
      </c>
      <c r="E93" s="1" t="s">
        <v>84</v>
      </c>
      <c r="H93" s="2"/>
      <c r="I93" s="2"/>
      <c r="J93" s="36">
        <f>+'OKT.WS.G.BPU.ATRR.True-up'!M16</f>
        <v>2025</v>
      </c>
      <c r="K93" s="33"/>
      <c r="L93" s="242" t="s">
        <v>85</v>
      </c>
      <c r="P93" s="1"/>
      <c r="Q93" s="1"/>
      <c r="R93" s="1"/>
      <c r="S93" s="1"/>
      <c r="T93" s="1"/>
      <c r="U93" s="1"/>
    </row>
    <row r="94" spans="1:21">
      <c r="B94">
        <v>2015</v>
      </c>
      <c r="C94" s="34" t="s">
        <v>52</v>
      </c>
      <c r="D94" s="85">
        <v>2014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85">
        <f>D12</f>
        <v>11</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632580.78281250002</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c r="Q98" s="1"/>
      <c r="R98" s="1"/>
      <c r="S98" s="1"/>
      <c r="T98" s="1"/>
      <c r="U98" s="1"/>
    </row>
    <row r="99" spans="1:21" ht="13.5" thickBot="1">
      <c r="C99" s="46" t="s">
        <v>68</v>
      </c>
      <c r="D99" s="80" t="s">
        <v>69</v>
      </c>
      <c r="E99" s="46" t="s">
        <v>70</v>
      </c>
      <c r="F99" s="46" t="s">
        <v>69</v>
      </c>
      <c r="G99" s="46" t="s">
        <v>69</v>
      </c>
      <c r="H99" s="369" t="s">
        <v>71</v>
      </c>
      <c r="I99" s="367" t="s">
        <v>72</v>
      </c>
      <c r="J99" s="46" t="s">
        <v>93</v>
      </c>
      <c r="K99" s="44"/>
      <c r="L99" s="368" t="s">
        <v>74</v>
      </c>
      <c r="M99" s="368" t="s">
        <v>74</v>
      </c>
      <c r="N99" s="368" t="s">
        <v>94</v>
      </c>
      <c r="O99" s="368" t="s">
        <v>94</v>
      </c>
      <c r="P99" s="368" t="s">
        <v>94</v>
      </c>
      <c r="Q99" s="1"/>
      <c r="R99" s="1"/>
      <c r="S99" s="1"/>
      <c r="T99" s="1"/>
      <c r="U99" s="1"/>
    </row>
    <row r="100" spans="1:21">
      <c r="C100" s="49">
        <f>IF(D94= "","-",D94)</f>
        <v>2014</v>
      </c>
      <c r="D100" s="11"/>
      <c r="E100" s="378"/>
      <c r="F100" s="54"/>
      <c r="G100" s="81"/>
      <c r="H100" s="81"/>
      <c r="I100" s="81"/>
      <c r="J100" s="53"/>
      <c r="K100" s="53"/>
      <c r="L100" s="114"/>
      <c r="M100" s="52">
        <f t="shared" ref="M100:M131" si="34">IF(L100&lt;&gt;0,+H100-L100,0)</f>
        <v>0</v>
      </c>
      <c r="N100" s="114"/>
      <c r="O100" s="52">
        <f t="shared" ref="O100:O131" si="35">IF(N100&lt;&gt;0,+I100-N100,0)</f>
        <v>0</v>
      </c>
      <c r="P100" s="52">
        <f t="shared" ref="P100:P131" si="36">+O100-M100</f>
        <v>0</v>
      </c>
      <c r="Q100" s="1"/>
      <c r="R100" s="1"/>
      <c r="S100" s="1"/>
      <c r="T100" s="1"/>
      <c r="U100" s="1"/>
    </row>
    <row r="101" spans="1:21">
      <c r="B101" t="str">
        <f t="shared" ref="B101:B155" si="37">IF(D101=F100,"","IU")</f>
        <v>IU</v>
      </c>
      <c r="C101" s="49">
        <f>IF(D94="","-",+C100+1)</f>
        <v>2015</v>
      </c>
      <c r="D101" s="371">
        <v>19016226.275360011</v>
      </c>
      <c r="E101" s="373">
        <v>416545.33333333331</v>
      </c>
      <c r="F101" s="375">
        <v>18599680.942026678</v>
      </c>
      <c r="G101" s="375">
        <v>18807953.608693346</v>
      </c>
      <c r="H101" s="373">
        <v>2510424.0615898012</v>
      </c>
      <c r="I101" s="374">
        <v>2510424.0615898012</v>
      </c>
      <c r="J101" s="53">
        <v>0</v>
      </c>
      <c r="K101" s="53"/>
      <c r="L101" s="376">
        <f t="shared" ref="L101:L106" si="38">H101</f>
        <v>2510424.0615898012</v>
      </c>
      <c r="M101" s="53">
        <f t="shared" ref="M101:M106" si="39">IF(L101&lt;&gt;0,+H101-L101,0)</f>
        <v>0</v>
      </c>
      <c r="N101" s="376">
        <f t="shared" ref="N101:N106" si="40">I101</f>
        <v>2510424.0615898012</v>
      </c>
      <c r="O101" s="53">
        <f t="shared" si="35"/>
        <v>0</v>
      </c>
      <c r="P101" s="53">
        <f t="shared" si="36"/>
        <v>0</v>
      </c>
      <c r="Q101" s="1"/>
      <c r="R101" s="1"/>
      <c r="S101" s="1"/>
      <c r="T101" s="1"/>
      <c r="U101" s="1"/>
    </row>
    <row r="102" spans="1:21">
      <c r="B102" t="str">
        <f t="shared" si="37"/>
        <v>IU</v>
      </c>
      <c r="C102" s="49">
        <f>IF(D94="","-",+C101+1)</f>
        <v>2016</v>
      </c>
      <c r="D102" s="371">
        <v>19825461.666666668</v>
      </c>
      <c r="E102" s="373">
        <v>396902.09803921566</v>
      </c>
      <c r="F102" s="375">
        <v>19428559.568627451</v>
      </c>
      <c r="G102" s="375">
        <v>19627010.617647059</v>
      </c>
      <c r="H102" s="373">
        <v>2523870.6286029778</v>
      </c>
      <c r="I102" s="374">
        <v>2523870.6286029778</v>
      </c>
      <c r="J102" s="53">
        <f>+I102-H102</f>
        <v>0</v>
      </c>
      <c r="K102" s="53"/>
      <c r="L102" s="376">
        <f t="shared" si="38"/>
        <v>2523870.6286029778</v>
      </c>
      <c r="M102" s="53">
        <f t="shared" si="39"/>
        <v>0</v>
      </c>
      <c r="N102" s="376">
        <f t="shared" si="40"/>
        <v>2523870.6286029778</v>
      </c>
      <c r="O102" s="53">
        <f>IF(N102&lt;&gt;0,+I102-N102,0)</f>
        <v>0</v>
      </c>
      <c r="P102" s="53">
        <f>+O102-M102</f>
        <v>0</v>
      </c>
      <c r="Q102" s="1"/>
      <c r="R102" s="1"/>
      <c r="S102" s="1"/>
      <c r="T102" s="1"/>
      <c r="U102" s="1"/>
    </row>
    <row r="103" spans="1:21">
      <c r="B103" t="str">
        <f t="shared" si="37"/>
        <v>IU</v>
      </c>
      <c r="C103" s="49">
        <f>IF(D94="","-",+C102+1)</f>
        <v>2017</v>
      </c>
      <c r="D103" s="371">
        <v>19429137.568627451</v>
      </c>
      <c r="E103" s="373">
        <v>506064.625</v>
      </c>
      <c r="F103" s="375">
        <v>18923072.943627451</v>
      </c>
      <c r="G103" s="375">
        <v>19176105.256127451</v>
      </c>
      <c r="H103" s="373">
        <v>2756109.5074390932</v>
      </c>
      <c r="I103" s="374">
        <v>2756109.5074390932</v>
      </c>
      <c r="J103" s="53">
        <v>0</v>
      </c>
      <c r="K103" s="53"/>
      <c r="L103" s="376">
        <f t="shared" si="38"/>
        <v>2756109.5074390932</v>
      </c>
      <c r="M103" s="53">
        <f t="shared" si="39"/>
        <v>0</v>
      </c>
      <c r="N103" s="376">
        <f t="shared" si="40"/>
        <v>2756109.5074390932</v>
      </c>
      <c r="O103" s="53">
        <f>IF(N103&lt;&gt;0,+I103-N103,0)</f>
        <v>0</v>
      </c>
      <c r="P103" s="53">
        <f>+O103-M103</f>
        <v>0</v>
      </c>
      <c r="Q103" s="1"/>
      <c r="R103" s="1"/>
      <c r="S103" s="1"/>
      <c r="T103" s="1"/>
      <c r="U103" s="1"/>
    </row>
    <row r="104" spans="1:21">
      <c r="B104" t="str">
        <f t="shared" si="37"/>
        <v/>
      </c>
      <c r="C104" s="49">
        <f>IF(D94="","-",+C103+1)</f>
        <v>2018</v>
      </c>
      <c r="D104" s="371">
        <v>18923072.943627451</v>
      </c>
      <c r="E104" s="373">
        <v>562294.02777777775</v>
      </c>
      <c r="F104" s="375">
        <v>18360778.915849674</v>
      </c>
      <c r="G104" s="375">
        <v>18641925.929738563</v>
      </c>
      <c r="H104" s="373">
        <v>2530181.3848446766</v>
      </c>
      <c r="I104" s="374">
        <v>2530181.3848446766</v>
      </c>
      <c r="J104" s="53">
        <f t="shared" ref="J104:J155" si="41">+I104-H104</f>
        <v>0</v>
      </c>
      <c r="K104" s="53"/>
      <c r="L104" s="376">
        <f t="shared" si="38"/>
        <v>2530181.3848446766</v>
      </c>
      <c r="M104" s="53">
        <f t="shared" si="39"/>
        <v>0</v>
      </c>
      <c r="N104" s="376">
        <f t="shared" si="40"/>
        <v>2530181.3848446766</v>
      </c>
      <c r="O104" s="53">
        <f>IF(N104&lt;&gt;0,+I104-N104,0)</f>
        <v>0</v>
      </c>
      <c r="P104" s="53">
        <f>+O104-M104</f>
        <v>0</v>
      </c>
      <c r="Q104" s="1"/>
      <c r="R104" s="1"/>
      <c r="S104" s="1"/>
      <c r="T104" s="1"/>
      <c r="U104" s="1"/>
    </row>
    <row r="105" spans="1:21">
      <c r="B105" t="str">
        <f t="shared" si="37"/>
        <v/>
      </c>
      <c r="C105" s="49">
        <f>IF(D94="","-",+C104+1)</f>
        <v>2019</v>
      </c>
      <c r="D105" s="371">
        <v>18360778.915849674</v>
      </c>
      <c r="E105" s="373">
        <v>562294.02777777775</v>
      </c>
      <c r="F105" s="375">
        <v>17798484.888071898</v>
      </c>
      <c r="G105" s="375">
        <v>18079631.901960786</v>
      </c>
      <c r="H105" s="373">
        <v>2470824.2501586666</v>
      </c>
      <c r="I105" s="374">
        <v>2470824.2501586666</v>
      </c>
      <c r="J105" s="53">
        <f t="shared" si="41"/>
        <v>0</v>
      </c>
      <c r="K105" s="53"/>
      <c r="L105" s="376">
        <f t="shared" si="38"/>
        <v>2470824.2501586666</v>
      </c>
      <c r="M105" s="53">
        <f t="shared" si="39"/>
        <v>0</v>
      </c>
      <c r="N105" s="376">
        <f t="shared" si="40"/>
        <v>2470824.2501586666</v>
      </c>
      <c r="O105" s="53">
        <f t="shared" si="35"/>
        <v>0</v>
      </c>
      <c r="P105" s="53">
        <f t="shared" si="36"/>
        <v>0</v>
      </c>
      <c r="Q105" s="1"/>
      <c r="R105" s="1"/>
      <c r="S105" s="1"/>
      <c r="T105" s="1"/>
      <c r="U105" s="1"/>
    </row>
    <row r="106" spans="1:21">
      <c r="B106" t="str">
        <f t="shared" si="37"/>
        <v/>
      </c>
      <c r="C106" s="49">
        <f>IF(D94="","-",+C105+1)</f>
        <v>2020</v>
      </c>
      <c r="D106" s="371">
        <v>17798484.888071898</v>
      </c>
      <c r="E106" s="373">
        <v>722949.46428571432</v>
      </c>
      <c r="F106" s="375">
        <v>17075535.423786186</v>
      </c>
      <c r="G106" s="375">
        <v>17437010.155929044</v>
      </c>
      <c r="H106" s="373">
        <v>2578482.7265587896</v>
      </c>
      <c r="I106" s="374">
        <v>2578482.7265587896</v>
      </c>
      <c r="J106" s="53">
        <f t="shared" si="41"/>
        <v>0</v>
      </c>
      <c r="K106" s="53"/>
      <c r="L106" s="376">
        <f t="shared" si="38"/>
        <v>2578482.7265587896</v>
      </c>
      <c r="M106" s="53">
        <f t="shared" si="39"/>
        <v>0</v>
      </c>
      <c r="N106" s="376">
        <f t="shared" si="40"/>
        <v>2578482.7265587896</v>
      </c>
      <c r="O106" s="53">
        <f t="shared" si="35"/>
        <v>0</v>
      </c>
      <c r="P106" s="53">
        <f t="shared" si="36"/>
        <v>0</v>
      </c>
      <c r="Q106" s="1"/>
      <c r="R106" s="1"/>
      <c r="S106" s="1"/>
      <c r="T106" s="1"/>
      <c r="U106" s="1"/>
    </row>
    <row r="107" spans="1:21">
      <c r="B107" t="str">
        <f t="shared" si="37"/>
        <v/>
      </c>
      <c r="C107" s="49">
        <f>IF(D94="","-",+C106+1)</f>
        <v>2021</v>
      </c>
      <c r="D107" s="371">
        <v>17075535.423786186</v>
      </c>
      <c r="E107" s="373">
        <v>809703.4</v>
      </c>
      <c r="F107" s="375">
        <v>16265832.023786185</v>
      </c>
      <c r="G107" s="375">
        <v>16670683.723786186</v>
      </c>
      <c r="H107" s="373">
        <v>2776210.8124179048</v>
      </c>
      <c r="I107" s="374">
        <v>2776210.8124179048</v>
      </c>
      <c r="J107" s="53">
        <f t="shared" si="41"/>
        <v>0</v>
      </c>
      <c r="K107" s="53"/>
      <c r="L107" s="376">
        <f t="shared" ref="L107" si="42">H107</f>
        <v>2776210.8124179048</v>
      </c>
      <c r="M107" s="53">
        <f t="shared" ref="M107" si="43">IF(L107&lt;&gt;0,+H107-L107,0)</f>
        <v>0</v>
      </c>
      <c r="N107" s="376">
        <f t="shared" ref="N107" si="44">I107</f>
        <v>2776210.8124179048</v>
      </c>
      <c r="O107" s="53">
        <f t="shared" si="35"/>
        <v>0</v>
      </c>
      <c r="P107" s="53">
        <f t="shared" si="36"/>
        <v>0</v>
      </c>
      <c r="Q107" s="1"/>
      <c r="R107" s="1"/>
      <c r="S107" s="1"/>
      <c r="T107" s="1"/>
      <c r="U107" s="1"/>
    </row>
    <row r="108" spans="1:21">
      <c r="B108" t="str">
        <f t="shared" si="37"/>
        <v/>
      </c>
      <c r="C108" s="49">
        <f>IF(D94="","-",+C107+1)</f>
        <v>2022</v>
      </c>
      <c r="D108" s="371">
        <v>16265832.023786185</v>
      </c>
      <c r="E108" s="373">
        <v>963932.61904761905</v>
      </c>
      <c r="F108" s="375">
        <v>15301899.404738566</v>
      </c>
      <c r="G108" s="375">
        <v>15783865.714262376</v>
      </c>
      <c r="H108" s="373">
        <v>2778540.7772450992</v>
      </c>
      <c r="I108" s="374">
        <v>2778540.7772450992</v>
      </c>
      <c r="J108" s="53">
        <f t="shared" si="41"/>
        <v>0</v>
      </c>
      <c r="K108" s="53"/>
      <c r="L108" s="376">
        <f t="shared" ref="L108" si="45">H108</f>
        <v>2778540.7772450992</v>
      </c>
      <c r="M108" s="53">
        <f t="shared" ref="M108" si="46">IF(L108&lt;&gt;0,+H108-L108,0)</f>
        <v>0</v>
      </c>
      <c r="N108" s="376">
        <f t="shared" ref="N108" si="47">I108</f>
        <v>2778540.7772450992</v>
      </c>
      <c r="O108" s="53">
        <f t="shared" ref="O108" si="48">IF(N108&lt;&gt;0,+I108-N108,0)</f>
        <v>0</v>
      </c>
      <c r="P108" s="53">
        <f t="shared" ref="P108" si="49">+O108-M108</f>
        <v>0</v>
      </c>
      <c r="Q108" s="1"/>
      <c r="R108" s="1"/>
      <c r="S108" s="1"/>
      <c r="T108" s="1"/>
      <c r="U108" s="1"/>
    </row>
    <row r="109" spans="1:21">
      <c r="B109" t="str">
        <f t="shared" si="37"/>
        <v>IU</v>
      </c>
      <c r="C109" s="49">
        <f>IF(D94="","-",+C108+1)</f>
        <v>2023</v>
      </c>
      <c r="D109" s="371">
        <v>15301899.454738563</v>
      </c>
      <c r="E109" s="373">
        <v>1065399.2131578948</v>
      </c>
      <c r="F109" s="375">
        <v>14236500.241580669</v>
      </c>
      <c r="G109" s="375">
        <v>14769199.848159615</v>
      </c>
      <c r="H109" s="373">
        <v>2684608.0352350613</v>
      </c>
      <c r="I109" s="374">
        <v>2684608.0352350613</v>
      </c>
      <c r="J109" s="53">
        <f t="shared" si="41"/>
        <v>0</v>
      </c>
      <c r="K109" s="53"/>
      <c r="L109" s="376">
        <f t="shared" ref="L109" si="50">H109</f>
        <v>2684608.0352350613</v>
      </c>
      <c r="M109" s="53">
        <f t="shared" ref="M109" si="51">IF(L109&lt;&gt;0,+H109-L109,0)</f>
        <v>0</v>
      </c>
      <c r="N109" s="376">
        <f t="shared" ref="N109" si="52">I109</f>
        <v>2684608.0352350613</v>
      </c>
      <c r="O109" s="53">
        <f t="shared" ref="O109" si="53">IF(N109&lt;&gt;0,+I109-N109,0)</f>
        <v>0</v>
      </c>
      <c r="P109" s="53">
        <f t="shared" ref="P109" si="54">+O109-M109</f>
        <v>0</v>
      </c>
      <c r="Q109" s="1"/>
      <c r="R109" s="1"/>
      <c r="S109" s="1"/>
      <c r="T109" s="1"/>
      <c r="U109" s="1"/>
    </row>
    <row r="110" spans="1:21">
      <c r="B110" t="str">
        <f t="shared" si="37"/>
        <v/>
      </c>
      <c r="C110" s="49">
        <f>IF(D94="","-",+C109+1)</f>
        <v>2024</v>
      </c>
      <c r="D110" s="371">
        <v>14236500.241580669</v>
      </c>
      <c r="E110" s="373">
        <v>1190740.2970588235</v>
      </c>
      <c r="F110" s="375">
        <v>13045759.944521844</v>
      </c>
      <c r="G110" s="375">
        <v>13641130.093051257</v>
      </c>
      <c r="H110" s="373">
        <v>2701157.2252548886</v>
      </c>
      <c r="I110" s="374">
        <v>2701157.2252548886</v>
      </c>
      <c r="J110" s="53">
        <f t="shared" si="41"/>
        <v>0</v>
      </c>
      <c r="K110" s="53"/>
      <c r="L110" s="376">
        <f t="shared" ref="L110" si="55">H110</f>
        <v>2701157.2252548886</v>
      </c>
      <c r="M110" s="53">
        <f t="shared" ref="M110" si="56">IF(L110&lt;&gt;0,+H110-L110,0)</f>
        <v>0</v>
      </c>
      <c r="N110" s="376">
        <f t="shared" ref="N110" si="57">I110</f>
        <v>2701157.2252548886</v>
      </c>
      <c r="O110" s="53">
        <f t="shared" ref="O110" si="58">IF(N110&lt;&gt;0,+I110-N110,0)</f>
        <v>0</v>
      </c>
      <c r="P110" s="53">
        <f t="shared" ref="P110" si="59">+O110-M110</f>
        <v>0</v>
      </c>
      <c r="Q110" s="1"/>
      <c r="R110" s="1"/>
      <c r="S110" s="1"/>
      <c r="T110" s="1"/>
      <c r="U110" s="1"/>
    </row>
    <row r="111" spans="1:21">
      <c r="B111" t="str">
        <f t="shared" si="37"/>
        <v/>
      </c>
      <c r="C111" s="49">
        <f>IF(D94="","-",+C110+1)</f>
        <v>2025</v>
      </c>
      <c r="D111" s="11">
        <f>IF(F110+SUM(E$100:E110)=D$93,F110,D$93-SUM(E$100:E110))</f>
        <v>13045759.944521844</v>
      </c>
      <c r="E111" s="447">
        <f t="shared" ref="E111:E155" si="60">IF(+$J$97&lt;F110,$J$97,D111)</f>
        <v>632580.78281250002</v>
      </c>
      <c r="F111" s="54">
        <f t="shared" ref="F111:F155" si="61">+D111-E111</f>
        <v>12413179.161709344</v>
      </c>
      <c r="G111" s="54">
        <f t="shared" ref="G111:G155" si="62">+(F111+D111)/2</f>
        <v>12729469.553115595</v>
      </c>
      <c r="H111" s="459">
        <f t="shared" ref="H111:H155" si="63">(D111+F111)/2*J$95+E111</f>
        <v>2064200.0747061009</v>
      </c>
      <c r="I111" s="448">
        <f t="shared" ref="I111:I155" si="64">+J$96*G111+E111</f>
        <v>2064200.0747061009</v>
      </c>
      <c r="J111" s="53">
        <f t="shared" si="41"/>
        <v>0</v>
      </c>
      <c r="K111" s="53"/>
      <c r="L111" s="112"/>
      <c r="M111" s="53">
        <f t="shared" si="34"/>
        <v>0</v>
      </c>
      <c r="N111" s="112"/>
      <c r="O111" s="53">
        <f t="shared" si="35"/>
        <v>0</v>
      </c>
      <c r="P111" s="53">
        <f t="shared" si="36"/>
        <v>0</v>
      </c>
      <c r="Q111" s="1"/>
      <c r="R111" s="1"/>
      <c r="S111" s="1"/>
      <c r="T111" s="1"/>
      <c r="U111" s="1"/>
    </row>
    <row r="112" spans="1:21">
      <c r="B112" t="str">
        <f t="shared" si="37"/>
        <v/>
      </c>
      <c r="C112" s="49">
        <f>IF(D94="","-",+C111+1)</f>
        <v>2026</v>
      </c>
      <c r="D112" s="11">
        <f>IF(F111+SUM(E$100:E111)=D$93,F111,D$93-SUM(E$100:E111))</f>
        <v>12413179.161709344</v>
      </c>
      <c r="E112" s="447">
        <f t="shared" si="60"/>
        <v>632580.78281250002</v>
      </c>
      <c r="F112" s="54">
        <f t="shared" si="61"/>
        <v>11780598.378896844</v>
      </c>
      <c r="G112" s="54">
        <f t="shared" si="62"/>
        <v>12096888.770303093</v>
      </c>
      <c r="H112" s="459">
        <f t="shared" si="63"/>
        <v>1993056.9018836417</v>
      </c>
      <c r="I112" s="448">
        <f t="shared" si="64"/>
        <v>1993056.9018836417</v>
      </c>
      <c r="J112" s="53">
        <f t="shared" si="41"/>
        <v>0</v>
      </c>
      <c r="K112" s="53"/>
      <c r="L112" s="112"/>
      <c r="M112" s="53">
        <f t="shared" si="34"/>
        <v>0</v>
      </c>
      <c r="N112" s="112"/>
      <c r="O112" s="53">
        <f t="shared" si="35"/>
        <v>0</v>
      </c>
      <c r="P112" s="53">
        <f t="shared" si="36"/>
        <v>0</v>
      </c>
      <c r="Q112" s="1"/>
      <c r="R112" s="1"/>
      <c r="S112" s="1"/>
      <c r="T112" s="1"/>
      <c r="U112" s="1"/>
    </row>
    <row r="113" spans="2:21">
      <c r="B113" t="str">
        <f t="shared" si="37"/>
        <v/>
      </c>
      <c r="C113" s="49">
        <f>IF(D94="","-",+C112+1)</f>
        <v>2027</v>
      </c>
      <c r="D113" s="11">
        <f>IF(F112+SUM(E$100:E112)=D$93,F112,D$93-SUM(E$100:E112))</f>
        <v>11780598.378896844</v>
      </c>
      <c r="E113" s="447">
        <f t="shared" si="60"/>
        <v>632580.78281250002</v>
      </c>
      <c r="F113" s="54">
        <f t="shared" si="61"/>
        <v>11148017.596084343</v>
      </c>
      <c r="G113" s="54">
        <f t="shared" si="62"/>
        <v>11464307.987490594</v>
      </c>
      <c r="H113" s="459">
        <f t="shared" si="63"/>
        <v>1921913.7290611831</v>
      </c>
      <c r="I113" s="448">
        <f t="shared" si="64"/>
        <v>1921913.7290611831</v>
      </c>
      <c r="J113" s="53">
        <f t="shared" si="41"/>
        <v>0</v>
      </c>
      <c r="K113" s="53"/>
      <c r="L113" s="112"/>
      <c r="M113" s="53">
        <f t="shared" si="34"/>
        <v>0</v>
      </c>
      <c r="N113" s="112"/>
      <c r="O113" s="53">
        <f t="shared" si="35"/>
        <v>0</v>
      </c>
      <c r="P113" s="53">
        <f t="shared" si="36"/>
        <v>0</v>
      </c>
      <c r="Q113" s="1"/>
      <c r="R113" s="1"/>
      <c r="S113" s="1"/>
      <c r="T113" s="1"/>
      <c r="U113" s="1"/>
    </row>
    <row r="114" spans="2:21">
      <c r="B114" t="str">
        <f t="shared" si="37"/>
        <v/>
      </c>
      <c r="C114" s="49">
        <f>IF(D94="","-",+C113+1)</f>
        <v>2028</v>
      </c>
      <c r="D114" s="11">
        <f>IF(F113+SUM(E$100:E113)=D$93,F113,D$93-SUM(E$100:E113))</f>
        <v>11148017.596084343</v>
      </c>
      <c r="E114" s="447">
        <f t="shared" si="60"/>
        <v>632580.78281250002</v>
      </c>
      <c r="F114" s="54">
        <f t="shared" si="61"/>
        <v>10515436.813271843</v>
      </c>
      <c r="G114" s="54">
        <f t="shared" si="62"/>
        <v>10831727.204678092</v>
      </c>
      <c r="H114" s="459">
        <f t="shared" si="63"/>
        <v>1850770.5562387239</v>
      </c>
      <c r="I114" s="448">
        <f t="shared" si="64"/>
        <v>1850770.5562387239</v>
      </c>
      <c r="J114" s="53">
        <f t="shared" si="41"/>
        <v>0</v>
      </c>
      <c r="K114" s="53"/>
      <c r="L114" s="112"/>
      <c r="M114" s="53">
        <f t="shared" si="34"/>
        <v>0</v>
      </c>
      <c r="N114" s="112"/>
      <c r="O114" s="53">
        <f t="shared" si="35"/>
        <v>0</v>
      </c>
      <c r="P114" s="53">
        <f t="shared" si="36"/>
        <v>0</v>
      </c>
      <c r="Q114" s="1"/>
      <c r="R114" s="1"/>
      <c r="S114" s="1"/>
      <c r="T114" s="1"/>
      <c r="U114" s="1"/>
    </row>
    <row r="115" spans="2:21">
      <c r="B115" t="str">
        <f t="shared" si="37"/>
        <v/>
      </c>
      <c r="C115" s="49">
        <f>IF(D94="","-",+C114+1)</f>
        <v>2029</v>
      </c>
      <c r="D115" s="11">
        <f>IF(F114+SUM(E$100:E114)=D$93,F114,D$93-SUM(E$100:E114))</f>
        <v>10515436.813271843</v>
      </c>
      <c r="E115" s="447">
        <f t="shared" si="60"/>
        <v>632580.78281250002</v>
      </c>
      <c r="F115" s="54">
        <f t="shared" si="61"/>
        <v>9882856.0304593425</v>
      </c>
      <c r="G115" s="54">
        <f t="shared" si="62"/>
        <v>10199146.421865594</v>
      </c>
      <c r="H115" s="459">
        <f t="shared" si="63"/>
        <v>1779627.3834162652</v>
      </c>
      <c r="I115" s="448">
        <f t="shared" si="64"/>
        <v>1779627.3834162652</v>
      </c>
      <c r="J115" s="53">
        <f t="shared" si="41"/>
        <v>0</v>
      </c>
      <c r="K115" s="53"/>
      <c r="L115" s="112"/>
      <c r="M115" s="53">
        <f t="shared" si="34"/>
        <v>0</v>
      </c>
      <c r="N115" s="112"/>
      <c r="O115" s="53">
        <f t="shared" si="35"/>
        <v>0</v>
      </c>
      <c r="P115" s="53">
        <f t="shared" si="36"/>
        <v>0</v>
      </c>
      <c r="Q115" s="1"/>
      <c r="R115" s="1"/>
      <c r="S115" s="1"/>
      <c r="T115" s="1"/>
      <c r="U115" s="1"/>
    </row>
    <row r="116" spans="2:21">
      <c r="B116" t="str">
        <f t="shared" si="37"/>
        <v/>
      </c>
      <c r="C116" s="49">
        <f>IF(D94="","-",+C115+1)</f>
        <v>2030</v>
      </c>
      <c r="D116" s="11">
        <f>IF(F115+SUM(E$100:E115)=D$93,F115,D$93-SUM(E$100:E115))</f>
        <v>9882856.0304593425</v>
      </c>
      <c r="E116" s="447">
        <f t="shared" si="60"/>
        <v>632580.78281250002</v>
      </c>
      <c r="F116" s="54">
        <f t="shared" si="61"/>
        <v>9250275.2476468422</v>
      </c>
      <c r="G116" s="54">
        <f t="shared" si="62"/>
        <v>9566565.6390530914</v>
      </c>
      <c r="H116" s="459">
        <f t="shared" si="63"/>
        <v>1708484.2105938061</v>
      </c>
      <c r="I116" s="448">
        <f t="shared" si="64"/>
        <v>1708484.2105938061</v>
      </c>
      <c r="J116" s="53">
        <f t="shared" si="41"/>
        <v>0</v>
      </c>
      <c r="K116" s="53"/>
      <c r="L116" s="112"/>
      <c r="M116" s="53">
        <f t="shared" si="34"/>
        <v>0</v>
      </c>
      <c r="N116" s="112"/>
      <c r="O116" s="53">
        <f t="shared" si="35"/>
        <v>0</v>
      </c>
      <c r="P116" s="53">
        <f t="shared" si="36"/>
        <v>0</v>
      </c>
      <c r="Q116" s="1"/>
      <c r="R116" s="1"/>
      <c r="S116" s="1"/>
      <c r="T116" s="1"/>
      <c r="U116" s="1"/>
    </row>
    <row r="117" spans="2:21">
      <c r="B117" t="str">
        <f t="shared" si="37"/>
        <v/>
      </c>
      <c r="C117" s="49">
        <f>IF(D94="","-",+C116+1)</f>
        <v>2031</v>
      </c>
      <c r="D117" s="11">
        <f>IF(F116+SUM(E$100:E116)=D$93,F116,D$93-SUM(E$100:E116))</f>
        <v>9250275.2476468422</v>
      </c>
      <c r="E117" s="447">
        <f t="shared" si="60"/>
        <v>632580.78281250002</v>
      </c>
      <c r="F117" s="54">
        <f t="shared" si="61"/>
        <v>8617694.4648343418</v>
      </c>
      <c r="G117" s="54">
        <f t="shared" si="62"/>
        <v>8933984.8562405929</v>
      </c>
      <c r="H117" s="459">
        <f t="shared" si="63"/>
        <v>1637341.0377713474</v>
      </c>
      <c r="I117" s="448">
        <f t="shared" si="64"/>
        <v>1637341.0377713474</v>
      </c>
      <c r="J117" s="53">
        <f t="shared" si="41"/>
        <v>0</v>
      </c>
      <c r="K117" s="53"/>
      <c r="L117" s="112"/>
      <c r="M117" s="53">
        <f t="shared" si="34"/>
        <v>0</v>
      </c>
      <c r="N117" s="112"/>
      <c r="O117" s="53">
        <f t="shared" si="35"/>
        <v>0</v>
      </c>
      <c r="P117" s="53">
        <f t="shared" si="36"/>
        <v>0</v>
      </c>
      <c r="Q117" s="1"/>
      <c r="R117" s="1"/>
      <c r="S117" s="1"/>
      <c r="T117" s="1"/>
      <c r="U117" s="1"/>
    </row>
    <row r="118" spans="2:21">
      <c r="B118" t="str">
        <f t="shared" si="37"/>
        <v/>
      </c>
      <c r="C118" s="49">
        <f>IF(D94="","-",+C117+1)</f>
        <v>2032</v>
      </c>
      <c r="D118" s="11">
        <f>IF(F117+SUM(E$100:E117)=D$93,F117,D$93-SUM(E$100:E117))</f>
        <v>8617694.4648343418</v>
      </c>
      <c r="E118" s="447">
        <f t="shared" si="60"/>
        <v>632580.78281250002</v>
      </c>
      <c r="F118" s="54">
        <f t="shared" si="61"/>
        <v>7985113.6820218414</v>
      </c>
      <c r="G118" s="54">
        <f t="shared" si="62"/>
        <v>8301404.0734280916</v>
      </c>
      <c r="H118" s="459">
        <f t="shared" si="63"/>
        <v>1566197.8649488883</v>
      </c>
      <c r="I118" s="448">
        <f t="shared" si="64"/>
        <v>1566197.8649488883</v>
      </c>
      <c r="J118" s="53">
        <f t="shared" si="41"/>
        <v>0</v>
      </c>
      <c r="K118" s="53"/>
      <c r="L118" s="112"/>
      <c r="M118" s="53">
        <f t="shared" si="34"/>
        <v>0</v>
      </c>
      <c r="N118" s="112"/>
      <c r="O118" s="53">
        <f t="shared" si="35"/>
        <v>0</v>
      </c>
      <c r="P118" s="53">
        <f t="shared" si="36"/>
        <v>0</v>
      </c>
      <c r="Q118" s="1"/>
      <c r="R118" s="1"/>
      <c r="S118" s="1"/>
      <c r="T118" s="1"/>
      <c r="U118" s="1"/>
    </row>
    <row r="119" spans="2:21">
      <c r="B119" t="str">
        <f t="shared" si="37"/>
        <v/>
      </c>
      <c r="C119" s="49">
        <f>IF(D94="","-",+C118+1)</f>
        <v>2033</v>
      </c>
      <c r="D119" s="11">
        <f>IF(F118+SUM(E$100:E118)=D$93,F118,D$93-SUM(E$100:E118))</f>
        <v>7985113.6820218414</v>
      </c>
      <c r="E119" s="447">
        <f t="shared" si="60"/>
        <v>632580.78281250002</v>
      </c>
      <c r="F119" s="54">
        <f t="shared" si="61"/>
        <v>7352532.899209341</v>
      </c>
      <c r="G119" s="54">
        <f t="shared" si="62"/>
        <v>7668823.2906155912</v>
      </c>
      <c r="H119" s="459">
        <f t="shared" si="63"/>
        <v>1495054.6921264296</v>
      </c>
      <c r="I119" s="448">
        <f t="shared" si="64"/>
        <v>1495054.6921264296</v>
      </c>
      <c r="J119" s="53">
        <f t="shared" si="41"/>
        <v>0</v>
      </c>
      <c r="K119" s="53"/>
      <c r="L119" s="112"/>
      <c r="M119" s="53">
        <f t="shared" si="34"/>
        <v>0</v>
      </c>
      <c r="N119" s="112"/>
      <c r="O119" s="53">
        <f t="shared" si="35"/>
        <v>0</v>
      </c>
      <c r="P119" s="53">
        <f t="shared" si="36"/>
        <v>0</v>
      </c>
      <c r="Q119" s="1"/>
      <c r="R119" s="1"/>
      <c r="S119" s="1"/>
      <c r="T119" s="1"/>
      <c r="U119" s="1"/>
    </row>
    <row r="120" spans="2:21">
      <c r="B120" t="str">
        <f t="shared" si="37"/>
        <v/>
      </c>
      <c r="C120" s="49">
        <f>IF(D94="","-",+C119+1)</f>
        <v>2034</v>
      </c>
      <c r="D120" s="11">
        <f>IF(F119+SUM(E$100:E119)=D$93,F119,D$93-SUM(E$100:E119))</f>
        <v>7352532.899209341</v>
      </c>
      <c r="E120" s="447">
        <f t="shared" si="60"/>
        <v>632580.78281250002</v>
      </c>
      <c r="F120" s="54">
        <f t="shared" si="61"/>
        <v>6719952.1163968407</v>
      </c>
      <c r="G120" s="54">
        <f t="shared" si="62"/>
        <v>7036242.5078030908</v>
      </c>
      <c r="H120" s="459">
        <f t="shared" si="63"/>
        <v>1423911.5193039705</v>
      </c>
      <c r="I120" s="448">
        <f t="shared" si="64"/>
        <v>1423911.5193039705</v>
      </c>
      <c r="J120" s="53">
        <f t="shared" si="41"/>
        <v>0</v>
      </c>
      <c r="K120" s="53"/>
      <c r="L120" s="112"/>
      <c r="M120" s="53">
        <f t="shared" si="34"/>
        <v>0</v>
      </c>
      <c r="N120" s="112"/>
      <c r="O120" s="53">
        <f t="shared" si="35"/>
        <v>0</v>
      </c>
      <c r="P120" s="53">
        <f t="shared" si="36"/>
        <v>0</v>
      </c>
      <c r="Q120" s="1"/>
      <c r="R120" s="1"/>
      <c r="S120" s="1"/>
      <c r="T120" s="1"/>
      <c r="U120" s="1"/>
    </row>
    <row r="121" spans="2:21">
      <c r="B121" t="str">
        <f t="shared" si="37"/>
        <v/>
      </c>
      <c r="C121" s="49">
        <f>IF(D94="","-",+C120+1)</f>
        <v>2035</v>
      </c>
      <c r="D121" s="11">
        <f>IF(F120+SUM(E$100:E120)=D$93,F120,D$93-SUM(E$100:E120))</f>
        <v>6719952.1163968407</v>
      </c>
      <c r="E121" s="447">
        <f t="shared" si="60"/>
        <v>632580.78281250002</v>
      </c>
      <c r="F121" s="54">
        <f t="shared" si="61"/>
        <v>6087371.3335843403</v>
      </c>
      <c r="G121" s="54">
        <f t="shared" si="62"/>
        <v>6403661.7249905905</v>
      </c>
      <c r="H121" s="459">
        <f t="shared" si="63"/>
        <v>1352768.3464815118</v>
      </c>
      <c r="I121" s="448">
        <f t="shared" si="64"/>
        <v>1352768.3464815118</v>
      </c>
      <c r="J121" s="53">
        <f t="shared" si="41"/>
        <v>0</v>
      </c>
      <c r="K121" s="53"/>
      <c r="L121" s="112"/>
      <c r="M121" s="53">
        <f t="shared" si="34"/>
        <v>0</v>
      </c>
      <c r="N121" s="112"/>
      <c r="O121" s="53">
        <f t="shared" si="35"/>
        <v>0</v>
      </c>
      <c r="P121" s="53">
        <f t="shared" si="36"/>
        <v>0</v>
      </c>
      <c r="Q121" s="1"/>
      <c r="R121" s="1"/>
      <c r="S121" s="1"/>
      <c r="T121" s="1"/>
      <c r="U121" s="1"/>
    </row>
    <row r="122" spans="2:21">
      <c r="B122" t="str">
        <f t="shared" si="37"/>
        <v/>
      </c>
      <c r="C122" s="49">
        <f>IF(D94="","-",+C121+1)</f>
        <v>2036</v>
      </c>
      <c r="D122" s="11">
        <f>IF(F121+SUM(E$100:E121)=D$93,F121,D$93-SUM(E$100:E121))</f>
        <v>6087371.3335843403</v>
      </c>
      <c r="E122" s="447">
        <f t="shared" si="60"/>
        <v>632580.78281250002</v>
      </c>
      <c r="F122" s="54">
        <f t="shared" si="61"/>
        <v>5454790.5507718399</v>
      </c>
      <c r="G122" s="54">
        <f t="shared" si="62"/>
        <v>5771080.9421780901</v>
      </c>
      <c r="H122" s="459">
        <f t="shared" si="63"/>
        <v>1281625.1736590527</v>
      </c>
      <c r="I122" s="448">
        <f t="shared" si="64"/>
        <v>1281625.1736590527</v>
      </c>
      <c r="J122" s="53">
        <f t="shared" si="41"/>
        <v>0</v>
      </c>
      <c r="K122" s="53"/>
      <c r="L122" s="112"/>
      <c r="M122" s="53">
        <f t="shared" si="34"/>
        <v>0</v>
      </c>
      <c r="N122" s="112"/>
      <c r="O122" s="53">
        <f t="shared" si="35"/>
        <v>0</v>
      </c>
      <c r="P122" s="53">
        <f t="shared" si="36"/>
        <v>0</v>
      </c>
      <c r="Q122" s="1"/>
      <c r="R122" s="1"/>
      <c r="S122" s="1"/>
      <c r="T122" s="1"/>
      <c r="U122" s="1"/>
    </row>
    <row r="123" spans="2:21">
      <c r="B123" t="str">
        <f t="shared" si="37"/>
        <v/>
      </c>
      <c r="C123" s="49">
        <f>IF(D94="","-",+C122+1)</f>
        <v>2037</v>
      </c>
      <c r="D123" s="11">
        <f>IF(F122+SUM(E$100:E122)=D$93,F122,D$93-SUM(E$100:E122))</f>
        <v>5454790.5507718399</v>
      </c>
      <c r="E123" s="447">
        <f t="shared" si="60"/>
        <v>632580.78281250002</v>
      </c>
      <c r="F123" s="54">
        <f t="shared" si="61"/>
        <v>4822209.7679593395</v>
      </c>
      <c r="G123" s="54">
        <f t="shared" si="62"/>
        <v>5138500.1593655897</v>
      </c>
      <c r="H123" s="459">
        <f t="shared" si="63"/>
        <v>1210482.000836594</v>
      </c>
      <c r="I123" s="448">
        <f t="shared" si="64"/>
        <v>1210482.000836594</v>
      </c>
      <c r="J123" s="53">
        <f t="shared" si="41"/>
        <v>0</v>
      </c>
      <c r="K123" s="53"/>
      <c r="L123" s="112"/>
      <c r="M123" s="53">
        <f t="shared" si="34"/>
        <v>0</v>
      </c>
      <c r="N123" s="112"/>
      <c r="O123" s="53">
        <f t="shared" si="35"/>
        <v>0</v>
      </c>
      <c r="P123" s="53">
        <f t="shared" si="36"/>
        <v>0</v>
      </c>
      <c r="Q123" s="1"/>
      <c r="R123" s="1"/>
      <c r="S123" s="1"/>
      <c r="T123" s="1"/>
      <c r="U123" s="1"/>
    </row>
    <row r="124" spans="2:21">
      <c r="B124" t="str">
        <f t="shared" si="37"/>
        <v/>
      </c>
      <c r="C124" s="49">
        <f>IF(D94="","-",+C123+1)</f>
        <v>2038</v>
      </c>
      <c r="D124" s="11">
        <f>IF(F123+SUM(E$100:E123)=D$93,F123,D$93-SUM(E$100:E123))</f>
        <v>4822209.7679593395</v>
      </c>
      <c r="E124" s="447">
        <f t="shared" si="60"/>
        <v>632580.78281250002</v>
      </c>
      <c r="F124" s="54">
        <f t="shared" si="61"/>
        <v>4189628.9851468396</v>
      </c>
      <c r="G124" s="54">
        <f t="shared" si="62"/>
        <v>4505919.3765530894</v>
      </c>
      <c r="H124" s="459">
        <f t="shared" si="63"/>
        <v>1139338.8280141349</v>
      </c>
      <c r="I124" s="448">
        <f t="shared" si="64"/>
        <v>1139338.8280141349</v>
      </c>
      <c r="J124" s="53">
        <f t="shared" si="41"/>
        <v>0</v>
      </c>
      <c r="K124" s="53"/>
      <c r="L124" s="112"/>
      <c r="M124" s="53">
        <f t="shared" si="34"/>
        <v>0</v>
      </c>
      <c r="N124" s="112"/>
      <c r="O124" s="53">
        <f t="shared" si="35"/>
        <v>0</v>
      </c>
      <c r="P124" s="53">
        <f t="shared" si="36"/>
        <v>0</v>
      </c>
      <c r="Q124" s="1"/>
      <c r="R124" s="1"/>
      <c r="S124" s="1"/>
      <c r="T124" s="1"/>
      <c r="U124" s="1"/>
    </row>
    <row r="125" spans="2:21">
      <c r="B125" t="str">
        <f t="shared" si="37"/>
        <v/>
      </c>
      <c r="C125" s="49">
        <f>IF(D94="","-",+C124+1)</f>
        <v>2039</v>
      </c>
      <c r="D125" s="11">
        <f>IF(F124+SUM(E$100:E124)=D$93,F124,D$93-SUM(E$100:E124))</f>
        <v>4189628.9851468396</v>
      </c>
      <c r="E125" s="447">
        <f t="shared" si="60"/>
        <v>632580.78281250002</v>
      </c>
      <c r="F125" s="54">
        <f t="shared" si="61"/>
        <v>3557048.2023343397</v>
      </c>
      <c r="G125" s="54">
        <f t="shared" si="62"/>
        <v>3873338.5937405899</v>
      </c>
      <c r="H125" s="459">
        <f t="shared" si="63"/>
        <v>1068195.6551916762</v>
      </c>
      <c r="I125" s="448">
        <f t="shared" si="64"/>
        <v>1068195.6551916762</v>
      </c>
      <c r="J125" s="53">
        <f t="shared" si="41"/>
        <v>0</v>
      </c>
      <c r="K125" s="53"/>
      <c r="L125" s="112"/>
      <c r="M125" s="53">
        <f t="shared" si="34"/>
        <v>0</v>
      </c>
      <c r="N125" s="112"/>
      <c r="O125" s="53">
        <f t="shared" si="35"/>
        <v>0</v>
      </c>
      <c r="P125" s="53">
        <f t="shared" si="36"/>
        <v>0</v>
      </c>
      <c r="Q125" s="1"/>
      <c r="R125" s="1"/>
      <c r="S125" s="1"/>
      <c r="T125" s="1"/>
      <c r="U125" s="1"/>
    </row>
    <row r="126" spans="2:21">
      <c r="B126" t="str">
        <f t="shared" si="37"/>
        <v/>
      </c>
      <c r="C126" s="49">
        <f>IF(D94="","-",+C125+1)</f>
        <v>2040</v>
      </c>
      <c r="D126" s="11">
        <f>IF(F125+SUM(E$100:E125)=D$93,F125,D$93-SUM(E$100:E125))</f>
        <v>3557048.2023343397</v>
      </c>
      <c r="E126" s="447">
        <f t="shared" si="60"/>
        <v>632580.78281250002</v>
      </c>
      <c r="F126" s="54">
        <f t="shared" si="61"/>
        <v>2924467.4195218398</v>
      </c>
      <c r="G126" s="54">
        <f t="shared" si="62"/>
        <v>3240757.8109280895</v>
      </c>
      <c r="H126" s="459">
        <f t="shared" si="63"/>
        <v>997052.48236921732</v>
      </c>
      <c r="I126" s="448">
        <f t="shared" si="64"/>
        <v>997052.48236921732</v>
      </c>
      <c r="J126" s="53">
        <f t="shared" si="41"/>
        <v>0</v>
      </c>
      <c r="K126" s="53"/>
      <c r="L126" s="112"/>
      <c r="M126" s="53">
        <f t="shared" si="34"/>
        <v>0</v>
      </c>
      <c r="N126" s="112"/>
      <c r="O126" s="53">
        <f t="shared" si="35"/>
        <v>0</v>
      </c>
      <c r="P126" s="53">
        <f t="shared" si="36"/>
        <v>0</v>
      </c>
      <c r="Q126" s="1"/>
      <c r="R126" s="1"/>
      <c r="S126" s="1"/>
      <c r="T126" s="1"/>
      <c r="U126" s="1"/>
    </row>
    <row r="127" spans="2:21">
      <c r="B127" t="str">
        <f t="shared" si="37"/>
        <v/>
      </c>
      <c r="C127" s="49">
        <f>IF(D94="","-",+C126+1)</f>
        <v>2041</v>
      </c>
      <c r="D127" s="11">
        <f>IF(F126+SUM(E$100:E126)=D$93,F126,D$93-SUM(E$100:E126))</f>
        <v>2924467.4195218398</v>
      </c>
      <c r="E127" s="447">
        <f t="shared" si="60"/>
        <v>632580.78281250002</v>
      </c>
      <c r="F127" s="54">
        <f t="shared" si="61"/>
        <v>2291886.6367093399</v>
      </c>
      <c r="G127" s="54">
        <f t="shared" si="62"/>
        <v>2608177.0281155901</v>
      </c>
      <c r="H127" s="459">
        <f t="shared" si="63"/>
        <v>925909.30954675842</v>
      </c>
      <c r="I127" s="448">
        <f t="shared" si="64"/>
        <v>925909.30954675842</v>
      </c>
      <c r="J127" s="53">
        <f t="shared" si="41"/>
        <v>0</v>
      </c>
      <c r="K127" s="53"/>
      <c r="L127" s="112"/>
      <c r="M127" s="53">
        <f t="shared" si="34"/>
        <v>0</v>
      </c>
      <c r="N127" s="112"/>
      <c r="O127" s="53">
        <f t="shared" si="35"/>
        <v>0</v>
      </c>
      <c r="P127" s="53">
        <f t="shared" si="36"/>
        <v>0</v>
      </c>
      <c r="Q127" s="1"/>
      <c r="R127" s="1"/>
      <c r="S127" s="1"/>
      <c r="T127" s="1"/>
      <c r="U127" s="1"/>
    </row>
    <row r="128" spans="2:21">
      <c r="B128" t="str">
        <f t="shared" si="37"/>
        <v/>
      </c>
      <c r="C128" s="49">
        <f>IF(D94="","-",+C127+1)</f>
        <v>2042</v>
      </c>
      <c r="D128" s="11">
        <f>IF(F127+SUM(E$100:E127)=D$93,F127,D$93-SUM(E$100:E127))</f>
        <v>2291886.6367093399</v>
      </c>
      <c r="E128" s="447">
        <f t="shared" si="60"/>
        <v>632580.78281250002</v>
      </c>
      <c r="F128" s="54">
        <f t="shared" si="61"/>
        <v>1659305.85389684</v>
      </c>
      <c r="G128" s="54">
        <f t="shared" si="62"/>
        <v>1975596.24530309</v>
      </c>
      <c r="H128" s="459">
        <f t="shared" si="63"/>
        <v>854766.13672429963</v>
      </c>
      <c r="I128" s="448">
        <f t="shared" si="64"/>
        <v>854766.13672429963</v>
      </c>
      <c r="J128" s="53">
        <f t="shared" si="41"/>
        <v>0</v>
      </c>
      <c r="K128" s="53"/>
      <c r="L128" s="112"/>
      <c r="M128" s="53">
        <f t="shared" si="34"/>
        <v>0</v>
      </c>
      <c r="N128" s="112"/>
      <c r="O128" s="53">
        <f t="shared" si="35"/>
        <v>0</v>
      </c>
      <c r="P128" s="53">
        <f t="shared" si="36"/>
        <v>0</v>
      </c>
      <c r="Q128" s="1"/>
      <c r="R128" s="1"/>
      <c r="S128" s="1"/>
      <c r="T128" s="1"/>
      <c r="U128" s="1"/>
    </row>
    <row r="129" spans="2:21">
      <c r="B129" t="str">
        <f t="shared" si="37"/>
        <v/>
      </c>
      <c r="C129" s="49">
        <f>IF(D94="","-",+C128+1)</f>
        <v>2043</v>
      </c>
      <c r="D129" s="11">
        <f>IF(F128+SUM(E$100:E128)=D$93,F128,D$93-SUM(E$100:E128))</f>
        <v>1659305.85389684</v>
      </c>
      <c r="E129" s="447">
        <f t="shared" si="60"/>
        <v>632580.78281250002</v>
      </c>
      <c r="F129" s="54">
        <f t="shared" si="61"/>
        <v>1026725.07108434</v>
      </c>
      <c r="G129" s="54">
        <f t="shared" si="62"/>
        <v>1343015.4624905901</v>
      </c>
      <c r="H129" s="459">
        <f t="shared" si="63"/>
        <v>783622.96390184085</v>
      </c>
      <c r="I129" s="448">
        <f t="shared" si="64"/>
        <v>783622.96390184085</v>
      </c>
      <c r="J129" s="53">
        <f t="shared" si="41"/>
        <v>0</v>
      </c>
      <c r="K129" s="53"/>
      <c r="L129" s="112"/>
      <c r="M129" s="53">
        <f t="shared" si="34"/>
        <v>0</v>
      </c>
      <c r="N129" s="112"/>
      <c r="O129" s="53">
        <f t="shared" si="35"/>
        <v>0</v>
      </c>
      <c r="P129" s="53">
        <f t="shared" si="36"/>
        <v>0</v>
      </c>
      <c r="Q129" s="1"/>
      <c r="R129" s="1"/>
      <c r="S129" s="1"/>
      <c r="T129" s="1"/>
      <c r="U129" s="1"/>
    </row>
    <row r="130" spans="2:21">
      <c r="B130" t="str">
        <f t="shared" si="37"/>
        <v/>
      </c>
      <c r="C130" s="49">
        <f>IF(D94="","-",+C129+1)</f>
        <v>2044</v>
      </c>
      <c r="D130" s="11">
        <f>IF(F129+SUM(E$100:E129)=D$93,F129,D$93-SUM(E$100:E129))</f>
        <v>1026725.07108434</v>
      </c>
      <c r="E130" s="447">
        <f t="shared" si="60"/>
        <v>632580.78281250002</v>
      </c>
      <c r="F130" s="54">
        <f t="shared" si="61"/>
        <v>394144.28827183996</v>
      </c>
      <c r="G130" s="54">
        <f t="shared" si="62"/>
        <v>710434.67967808992</v>
      </c>
      <c r="H130" s="459">
        <f t="shared" si="63"/>
        <v>712479.79107938195</v>
      </c>
      <c r="I130" s="448">
        <f t="shared" si="64"/>
        <v>712479.79107938195</v>
      </c>
      <c r="J130" s="53">
        <f t="shared" si="41"/>
        <v>0</v>
      </c>
      <c r="K130" s="53"/>
      <c r="L130" s="112"/>
      <c r="M130" s="53">
        <f t="shared" si="34"/>
        <v>0</v>
      </c>
      <c r="N130" s="112"/>
      <c r="O130" s="53">
        <f t="shared" si="35"/>
        <v>0</v>
      </c>
      <c r="P130" s="53">
        <f t="shared" si="36"/>
        <v>0</v>
      </c>
      <c r="Q130" s="1"/>
      <c r="R130" s="1"/>
      <c r="S130" s="1"/>
      <c r="T130" s="1"/>
      <c r="U130" s="1"/>
    </row>
    <row r="131" spans="2:21">
      <c r="B131" t="str">
        <f t="shared" si="37"/>
        <v/>
      </c>
      <c r="C131" s="49">
        <f>IF(D94="","-",+C130+1)</f>
        <v>2045</v>
      </c>
      <c r="D131" s="11">
        <f>IF(F130+SUM(E$100:E130)=D$93,F130,D$93-SUM(E$100:E130))</f>
        <v>394144.28827183996</v>
      </c>
      <c r="E131" s="447">
        <f t="shared" si="60"/>
        <v>394144.28827183996</v>
      </c>
      <c r="F131" s="54">
        <f t="shared" si="61"/>
        <v>0</v>
      </c>
      <c r="G131" s="54">
        <f t="shared" si="62"/>
        <v>197072.14413591998</v>
      </c>
      <c r="H131" s="459">
        <f t="shared" si="63"/>
        <v>416307.9991996662</v>
      </c>
      <c r="I131" s="448">
        <f t="shared" si="64"/>
        <v>416307.9991996662</v>
      </c>
      <c r="J131" s="53">
        <f t="shared" si="41"/>
        <v>0</v>
      </c>
      <c r="K131" s="53"/>
      <c r="L131" s="112"/>
      <c r="M131" s="53">
        <f t="shared" si="34"/>
        <v>0</v>
      </c>
      <c r="N131" s="112"/>
      <c r="O131" s="53">
        <f t="shared" si="35"/>
        <v>0</v>
      </c>
      <c r="P131" s="53">
        <f t="shared" si="36"/>
        <v>0</v>
      </c>
      <c r="Q131" s="1"/>
      <c r="R131" s="1"/>
      <c r="S131" s="1"/>
      <c r="T131" s="1"/>
      <c r="U131" s="1"/>
    </row>
    <row r="132" spans="2:21">
      <c r="B132" t="str">
        <f t="shared" si="37"/>
        <v/>
      </c>
      <c r="C132" s="49">
        <f>IF(D94="","-",+C131+1)</f>
        <v>2046</v>
      </c>
      <c r="D132" s="11">
        <f>IF(F131+SUM(E$100:E131)=D$93,F131,D$93-SUM(E$100:E131))</f>
        <v>0</v>
      </c>
      <c r="E132" s="447">
        <f t="shared" si="60"/>
        <v>0</v>
      </c>
      <c r="F132" s="54">
        <f t="shared" si="61"/>
        <v>0</v>
      </c>
      <c r="G132" s="54">
        <f t="shared" si="62"/>
        <v>0</v>
      </c>
      <c r="H132" s="459">
        <f t="shared" si="63"/>
        <v>0</v>
      </c>
      <c r="I132" s="448">
        <f t="shared" si="64"/>
        <v>0</v>
      </c>
      <c r="J132" s="53">
        <f t="shared" si="41"/>
        <v>0</v>
      </c>
      <c r="K132" s="53"/>
      <c r="L132" s="112"/>
      <c r="M132" s="53">
        <f t="shared" ref="M132:M155" si="65">IF(L542&lt;&gt;0,+H542-L542,0)</f>
        <v>0</v>
      </c>
      <c r="N132" s="112"/>
      <c r="O132" s="53">
        <f t="shared" ref="O132:O155" si="66">IF(N542&lt;&gt;0,+I542-N542,0)</f>
        <v>0</v>
      </c>
      <c r="P132" s="53">
        <f t="shared" ref="P132:P155" si="67">+O542-M542</f>
        <v>0</v>
      </c>
      <c r="Q132" s="1"/>
      <c r="R132" s="1"/>
      <c r="S132" s="1"/>
      <c r="T132" s="1"/>
      <c r="U132" s="1"/>
    </row>
    <row r="133" spans="2:21">
      <c r="B133" t="str">
        <f t="shared" si="37"/>
        <v/>
      </c>
      <c r="C133" s="49">
        <f>IF(D94="","-",+C132+1)</f>
        <v>2047</v>
      </c>
      <c r="D133" s="11">
        <f>IF(F132+SUM(E$100:E132)=D$93,F132,D$93-SUM(E$100:E132))</f>
        <v>0</v>
      </c>
      <c r="E133" s="447">
        <f t="shared" si="60"/>
        <v>0</v>
      </c>
      <c r="F133" s="54">
        <f t="shared" si="61"/>
        <v>0</v>
      </c>
      <c r="G133" s="54">
        <f t="shared" si="62"/>
        <v>0</v>
      </c>
      <c r="H133" s="459">
        <f t="shared" si="63"/>
        <v>0</v>
      </c>
      <c r="I133" s="448">
        <f t="shared" si="64"/>
        <v>0</v>
      </c>
      <c r="J133" s="53">
        <f t="shared" si="41"/>
        <v>0</v>
      </c>
      <c r="K133" s="53"/>
      <c r="L133" s="112"/>
      <c r="M133" s="53">
        <f t="shared" si="65"/>
        <v>0</v>
      </c>
      <c r="N133" s="112"/>
      <c r="O133" s="53">
        <f t="shared" si="66"/>
        <v>0</v>
      </c>
      <c r="P133" s="53">
        <f t="shared" si="67"/>
        <v>0</v>
      </c>
      <c r="Q133" s="1"/>
      <c r="R133" s="1"/>
      <c r="S133" s="1"/>
      <c r="T133" s="1"/>
      <c r="U133" s="1"/>
    </row>
    <row r="134" spans="2:21">
      <c r="B134" t="str">
        <f t="shared" si="37"/>
        <v/>
      </c>
      <c r="C134" s="49">
        <f>IF(D94="","-",+C133+1)</f>
        <v>2048</v>
      </c>
      <c r="D134" s="11">
        <f>IF(F133+SUM(E$100:E133)=D$93,F133,D$93-SUM(E$100:E133))</f>
        <v>0</v>
      </c>
      <c r="E134" s="447">
        <f t="shared" si="60"/>
        <v>0</v>
      </c>
      <c r="F134" s="54">
        <f t="shared" si="61"/>
        <v>0</v>
      </c>
      <c r="G134" s="54">
        <f t="shared" si="62"/>
        <v>0</v>
      </c>
      <c r="H134" s="459">
        <f t="shared" si="63"/>
        <v>0</v>
      </c>
      <c r="I134" s="448">
        <f t="shared" si="64"/>
        <v>0</v>
      </c>
      <c r="J134" s="53">
        <f t="shared" si="41"/>
        <v>0</v>
      </c>
      <c r="K134" s="53"/>
      <c r="L134" s="112"/>
      <c r="M134" s="53">
        <f t="shared" si="65"/>
        <v>0</v>
      </c>
      <c r="N134" s="112"/>
      <c r="O134" s="53">
        <f t="shared" si="66"/>
        <v>0</v>
      </c>
      <c r="P134" s="53">
        <f t="shared" si="67"/>
        <v>0</v>
      </c>
      <c r="Q134" s="1"/>
      <c r="R134" s="1"/>
      <c r="S134" s="1"/>
      <c r="T134" s="1"/>
      <c r="U134" s="1"/>
    </row>
    <row r="135" spans="2:21">
      <c r="B135" t="str">
        <f t="shared" si="37"/>
        <v/>
      </c>
      <c r="C135" s="49">
        <f>IF(D94="","-",+C134+1)</f>
        <v>2049</v>
      </c>
      <c r="D135" s="11">
        <f>IF(F134+SUM(E$100:E134)=D$93,F134,D$93-SUM(E$100:E134))</f>
        <v>0</v>
      </c>
      <c r="E135" s="447">
        <f t="shared" si="60"/>
        <v>0</v>
      </c>
      <c r="F135" s="54">
        <f t="shared" si="61"/>
        <v>0</v>
      </c>
      <c r="G135" s="54">
        <f t="shared" si="62"/>
        <v>0</v>
      </c>
      <c r="H135" s="459">
        <f t="shared" si="63"/>
        <v>0</v>
      </c>
      <c r="I135" s="448">
        <f t="shared" si="64"/>
        <v>0</v>
      </c>
      <c r="J135" s="53">
        <f t="shared" si="41"/>
        <v>0</v>
      </c>
      <c r="K135" s="53"/>
      <c r="L135" s="112"/>
      <c r="M135" s="53">
        <f t="shared" si="65"/>
        <v>0</v>
      </c>
      <c r="N135" s="112"/>
      <c r="O135" s="53">
        <f t="shared" si="66"/>
        <v>0</v>
      </c>
      <c r="P135" s="53">
        <f t="shared" si="67"/>
        <v>0</v>
      </c>
      <c r="Q135" s="1"/>
      <c r="R135" s="1"/>
      <c r="S135" s="1"/>
      <c r="T135" s="1"/>
      <c r="U135" s="1"/>
    </row>
    <row r="136" spans="2:21">
      <c r="B136" t="str">
        <f t="shared" si="37"/>
        <v/>
      </c>
      <c r="C136" s="49">
        <f>IF(D94="","-",+C135+1)</f>
        <v>2050</v>
      </c>
      <c r="D136" s="11">
        <f>IF(F135+SUM(E$100:E135)=D$93,F135,D$93-SUM(E$100:E135))</f>
        <v>0</v>
      </c>
      <c r="E136" s="447">
        <f t="shared" si="60"/>
        <v>0</v>
      </c>
      <c r="F136" s="54">
        <f t="shared" si="61"/>
        <v>0</v>
      </c>
      <c r="G136" s="54">
        <f t="shared" si="62"/>
        <v>0</v>
      </c>
      <c r="H136" s="459">
        <f t="shared" si="63"/>
        <v>0</v>
      </c>
      <c r="I136" s="448">
        <f t="shared" si="64"/>
        <v>0</v>
      </c>
      <c r="J136" s="53">
        <f t="shared" si="41"/>
        <v>0</v>
      </c>
      <c r="K136" s="53"/>
      <c r="L136" s="112"/>
      <c r="M136" s="53">
        <f t="shared" si="65"/>
        <v>0</v>
      </c>
      <c r="N136" s="112"/>
      <c r="O136" s="53">
        <f t="shared" si="66"/>
        <v>0</v>
      </c>
      <c r="P136" s="53">
        <f t="shared" si="67"/>
        <v>0</v>
      </c>
      <c r="Q136" s="1"/>
      <c r="R136" s="1"/>
      <c r="S136" s="1"/>
      <c r="T136" s="1"/>
      <c r="U136" s="1"/>
    </row>
    <row r="137" spans="2:21">
      <c r="B137" t="str">
        <f t="shared" si="37"/>
        <v/>
      </c>
      <c r="C137" s="49">
        <f>IF(D94="","-",+C136+1)</f>
        <v>2051</v>
      </c>
      <c r="D137" s="11">
        <f>IF(F136+SUM(E$100:E136)=D$93,F136,D$93-SUM(E$100:E136))</f>
        <v>0</v>
      </c>
      <c r="E137" s="447">
        <f t="shared" si="60"/>
        <v>0</v>
      </c>
      <c r="F137" s="54">
        <f t="shared" si="61"/>
        <v>0</v>
      </c>
      <c r="G137" s="54">
        <f t="shared" si="62"/>
        <v>0</v>
      </c>
      <c r="H137" s="459">
        <f t="shared" si="63"/>
        <v>0</v>
      </c>
      <c r="I137" s="448">
        <f t="shared" si="64"/>
        <v>0</v>
      </c>
      <c r="J137" s="53">
        <f t="shared" si="41"/>
        <v>0</v>
      </c>
      <c r="K137" s="53"/>
      <c r="L137" s="112"/>
      <c r="M137" s="53">
        <f t="shared" si="65"/>
        <v>0</v>
      </c>
      <c r="N137" s="112"/>
      <c r="O137" s="53">
        <f t="shared" si="66"/>
        <v>0</v>
      </c>
      <c r="P137" s="53">
        <f t="shared" si="67"/>
        <v>0</v>
      </c>
      <c r="Q137" s="1"/>
      <c r="R137" s="1"/>
      <c r="S137" s="1"/>
      <c r="T137" s="1"/>
      <c r="U137" s="1"/>
    </row>
    <row r="138" spans="2:21">
      <c r="B138" t="str">
        <f t="shared" si="37"/>
        <v/>
      </c>
      <c r="C138" s="49">
        <f>IF(D94="","-",+C137+1)</f>
        <v>2052</v>
      </c>
      <c r="D138" s="11">
        <f>IF(F137+SUM(E$100:E137)=D$93,F137,D$93-SUM(E$100:E137))</f>
        <v>0</v>
      </c>
      <c r="E138" s="447">
        <f t="shared" si="60"/>
        <v>0</v>
      </c>
      <c r="F138" s="54">
        <f t="shared" si="61"/>
        <v>0</v>
      </c>
      <c r="G138" s="54">
        <f t="shared" si="62"/>
        <v>0</v>
      </c>
      <c r="H138" s="459">
        <f t="shared" si="63"/>
        <v>0</v>
      </c>
      <c r="I138" s="448">
        <f t="shared" si="64"/>
        <v>0</v>
      </c>
      <c r="J138" s="53">
        <f t="shared" si="41"/>
        <v>0</v>
      </c>
      <c r="K138" s="53"/>
      <c r="L138" s="112"/>
      <c r="M138" s="53">
        <f t="shared" si="65"/>
        <v>0</v>
      </c>
      <c r="N138" s="112"/>
      <c r="O138" s="53">
        <f t="shared" si="66"/>
        <v>0</v>
      </c>
      <c r="P138" s="53">
        <f t="shared" si="67"/>
        <v>0</v>
      </c>
      <c r="Q138" s="1"/>
      <c r="R138" s="1"/>
      <c r="S138" s="1"/>
      <c r="T138" s="1"/>
      <c r="U138" s="1"/>
    </row>
    <row r="139" spans="2:21">
      <c r="B139" t="str">
        <f t="shared" si="37"/>
        <v/>
      </c>
      <c r="C139" s="49">
        <f>IF(D94="","-",+C138+1)</f>
        <v>2053</v>
      </c>
      <c r="D139" s="11">
        <f>IF(F138+SUM(E$100:E138)=D$93,F138,D$93-SUM(E$100:E138))</f>
        <v>0</v>
      </c>
      <c r="E139" s="447">
        <f t="shared" si="60"/>
        <v>0</v>
      </c>
      <c r="F139" s="54">
        <f t="shared" si="61"/>
        <v>0</v>
      </c>
      <c r="G139" s="54">
        <f t="shared" si="62"/>
        <v>0</v>
      </c>
      <c r="H139" s="459">
        <f t="shared" si="63"/>
        <v>0</v>
      </c>
      <c r="I139" s="448">
        <f t="shared" si="64"/>
        <v>0</v>
      </c>
      <c r="J139" s="53">
        <f t="shared" si="41"/>
        <v>0</v>
      </c>
      <c r="K139" s="53"/>
      <c r="L139" s="112"/>
      <c r="M139" s="53">
        <f t="shared" si="65"/>
        <v>0</v>
      </c>
      <c r="N139" s="112"/>
      <c r="O139" s="53">
        <f t="shared" si="66"/>
        <v>0</v>
      </c>
      <c r="P139" s="53">
        <f t="shared" si="67"/>
        <v>0</v>
      </c>
      <c r="Q139" s="1"/>
      <c r="R139" s="1"/>
      <c r="S139" s="1"/>
      <c r="T139" s="1"/>
      <c r="U139" s="1"/>
    </row>
    <row r="140" spans="2:21">
      <c r="B140" t="str">
        <f t="shared" si="37"/>
        <v/>
      </c>
      <c r="C140" s="49">
        <f>IF(D94="","-",+C139+1)</f>
        <v>2054</v>
      </c>
      <c r="D140" s="11">
        <f>IF(F139+SUM(E$100:E139)=D$93,F139,D$93-SUM(E$100:E139))</f>
        <v>0</v>
      </c>
      <c r="E140" s="447">
        <f t="shared" si="60"/>
        <v>0</v>
      </c>
      <c r="F140" s="54">
        <f t="shared" si="61"/>
        <v>0</v>
      </c>
      <c r="G140" s="54">
        <f t="shared" si="62"/>
        <v>0</v>
      </c>
      <c r="H140" s="459">
        <f t="shared" si="63"/>
        <v>0</v>
      </c>
      <c r="I140" s="448">
        <f t="shared" si="64"/>
        <v>0</v>
      </c>
      <c r="J140" s="53">
        <f t="shared" si="41"/>
        <v>0</v>
      </c>
      <c r="K140" s="53"/>
      <c r="L140" s="112"/>
      <c r="M140" s="53">
        <f t="shared" si="65"/>
        <v>0</v>
      </c>
      <c r="N140" s="112"/>
      <c r="O140" s="53">
        <f t="shared" si="66"/>
        <v>0</v>
      </c>
      <c r="P140" s="53">
        <f t="shared" si="67"/>
        <v>0</v>
      </c>
      <c r="Q140" s="1"/>
      <c r="R140" s="1"/>
      <c r="S140" s="1"/>
      <c r="T140" s="1"/>
      <c r="U140" s="1"/>
    </row>
    <row r="141" spans="2:21">
      <c r="B141" t="str">
        <f t="shared" si="37"/>
        <v/>
      </c>
      <c r="C141" s="49">
        <f>IF(D94="","-",+C140+1)</f>
        <v>2055</v>
      </c>
      <c r="D141" s="11">
        <f>IF(F140+SUM(E$100:E140)=D$93,F140,D$93-SUM(E$100:E140))</f>
        <v>0</v>
      </c>
      <c r="E141" s="447">
        <f t="shared" si="60"/>
        <v>0</v>
      </c>
      <c r="F141" s="54">
        <f t="shared" si="61"/>
        <v>0</v>
      </c>
      <c r="G141" s="54">
        <f t="shared" si="62"/>
        <v>0</v>
      </c>
      <c r="H141" s="459">
        <f t="shared" si="63"/>
        <v>0</v>
      </c>
      <c r="I141" s="448">
        <f t="shared" si="64"/>
        <v>0</v>
      </c>
      <c r="J141" s="53">
        <f t="shared" si="41"/>
        <v>0</v>
      </c>
      <c r="K141" s="53"/>
      <c r="L141" s="112"/>
      <c r="M141" s="53">
        <f t="shared" si="65"/>
        <v>0</v>
      </c>
      <c r="N141" s="112"/>
      <c r="O141" s="53">
        <f t="shared" si="66"/>
        <v>0</v>
      </c>
      <c r="P141" s="53">
        <f t="shared" si="67"/>
        <v>0</v>
      </c>
      <c r="Q141" s="1"/>
      <c r="R141" s="1"/>
      <c r="S141" s="1"/>
      <c r="T141" s="1"/>
      <c r="U141" s="1"/>
    </row>
    <row r="142" spans="2:21">
      <c r="B142" t="str">
        <f t="shared" si="37"/>
        <v/>
      </c>
      <c r="C142" s="49">
        <f>IF(D94="","-",+C141+1)</f>
        <v>2056</v>
      </c>
      <c r="D142" s="11">
        <f>IF(F141+SUM(E$100:E141)=D$93,F141,D$93-SUM(E$100:E141))</f>
        <v>0</v>
      </c>
      <c r="E142" s="447">
        <f t="shared" si="60"/>
        <v>0</v>
      </c>
      <c r="F142" s="54">
        <f t="shared" si="61"/>
        <v>0</v>
      </c>
      <c r="G142" s="54">
        <f t="shared" si="62"/>
        <v>0</v>
      </c>
      <c r="H142" s="459">
        <f t="shared" si="63"/>
        <v>0</v>
      </c>
      <c r="I142" s="448">
        <f t="shared" si="64"/>
        <v>0</v>
      </c>
      <c r="J142" s="53">
        <f t="shared" si="41"/>
        <v>0</v>
      </c>
      <c r="K142" s="53"/>
      <c r="L142" s="112"/>
      <c r="M142" s="53">
        <f t="shared" si="65"/>
        <v>0</v>
      </c>
      <c r="N142" s="112"/>
      <c r="O142" s="53">
        <f t="shared" si="66"/>
        <v>0</v>
      </c>
      <c r="P142" s="53">
        <f t="shared" si="67"/>
        <v>0</v>
      </c>
      <c r="Q142" s="1"/>
      <c r="R142" s="1"/>
      <c r="S142" s="1"/>
      <c r="T142" s="1"/>
      <c r="U142" s="1"/>
    </row>
    <row r="143" spans="2:21">
      <c r="B143" t="str">
        <f t="shared" si="37"/>
        <v/>
      </c>
      <c r="C143" s="49">
        <f>IF(D94="","-",+C142+1)</f>
        <v>2057</v>
      </c>
      <c r="D143" s="11">
        <f>IF(F142+SUM(E$100:E142)=D$93,F142,D$93-SUM(E$100:E142))</f>
        <v>0</v>
      </c>
      <c r="E143" s="447">
        <f t="shared" si="60"/>
        <v>0</v>
      </c>
      <c r="F143" s="54">
        <f t="shared" si="61"/>
        <v>0</v>
      </c>
      <c r="G143" s="54">
        <f t="shared" si="62"/>
        <v>0</v>
      </c>
      <c r="H143" s="459">
        <f t="shared" si="63"/>
        <v>0</v>
      </c>
      <c r="I143" s="448">
        <f t="shared" si="64"/>
        <v>0</v>
      </c>
      <c r="J143" s="53">
        <f t="shared" si="41"/>
        <v>0</v>
      </c>
      <c r="K143" s="53"/>
      <c r="L143" s="112"/>
      <c r="M143" s="53">
        <f t="shared" si="65"/>
        <v>0</v>
      </c>
      <c r="N143" s="112"/>
      <c r="O143" s="53">
        <f t="shared" si="66"/>
        <v>0</v>
      </c>
      <c r="P143" s="53">
        <f t="shared" si="67"/>
        <v>0</v>
      </c>
      <c r="Q143" s="1"/>
      <c r="R143" s="1"/>
      <c r="S143" s="1"/>
      <c r="T143" s="1"/>
      <c r="U143" s="1"/>
    </row>
    <row r="144" spans="2:21">
      <c r="B144" t="str">
        <f t="shared" si="37"/>
        <v/>
      </c>
      <c r="C144" s="49">
        <f>IF(D94="","-",+C143+1)</f>
        <v>2058</v>
      </c>
      <c r="D144" s="11">
        <f>IF(F143+SUM(E$100:E143)=D$93,F143,D$93-SUM(E$100:E143))</f>
        <v>0</v>
      </c>
      <c r="E144" s="447">
        <f t="shared" si="60"/>
        <v>0</v>
      </c>
      <c r="F144" s="54">
        <f t="shared" si="61"/>
        <v>0</v>
      </c>
      <c r="G144" s="54">
        <f t="shared" si="62"/>
        <v>0</v>
      </c>
      <c r="H144" s="459">
        <f t="shared" si="63"/>
        <v>0</v>
      </c>
      <c r="I144" s="448">
        <f t="shared" si="64"/>
        <v>0</v>
      </c>
      <c r="J144" s="53">
        <f t="shared" si="41"/>
        <v>0</v>
      </c>
      <c r="K144" s="53"/>
      <c r="L144" s="112"/>
      <c r="M144" s="53">
        <f t="shared" si="65"/>
        <v>0</v>
      </c>
      <c r="N144" s="112"/>
      <c r="O144" s="53">
        <f t="shared" si="66"/>
        <v>0</v>
      </c>
      <c r="P144" s="53">
        <f t="shared" si="67"/>
        <v>0</v>
      </c>
      <c r="Q144" s="1"/>
      <c r="R144" s="1"/>
      <c r="S144" s="1"/>
      <c r="T144" s="1"/>
      <c r="U144" s="1"/>
    </row>
    <row r="145" spans="2:21">
      <c r="B145" t="str">
        <f t="shared" si="37"/>
        <v/>
      </c>
      <c r="C145" s="49">
        <f>IF(D94="","-",+C144+1)</f>
        <v>2059</v>
      </c>
      <c r="D145" s="11">
        <f>IF(F144+SUM(E$100:E144)=D$93,F144,D$93-SUM(E$100:E144))</f>
        <v>0</v>
      </c>
      <c r="E145" s="447">
        <f t="shared" si="60"/>
        <v>0</v>
      </c>
      <c r="F145" s="54">
        <f t="shared" si="61"/>
        <v>0</v>
      </c>
      <c r="G145" s="54">
        <f t="shared" si="62"/>
        <v>0</v>
      </c>
      <c r="H145" s="459">
        <f t="shared" si="63"/>
        <v>0</v>
      </c>
      <c r="I145" s="448">
        <f t="shared" si="64"/>
        <v>0</v>
      </c>
      <c r="J145" s="53">
        <f t="shared" si="41"/>
        <v>0</v>
      </c>
      <c r="K145" s="53"/>
      <c r="L145" s="112"/>
      <c r="M145" s="53">
        <f t="shared" si="65"/>
        <v>0</v>
      </c>
      <c r="N145" s="112"/>
      <c r="O145" s="53">
        <f t="shared" si="66"/>
        <v>0</v>
      </c>
      <c r="P145" s="53">
        <f t="shared" si="67"/>
        <v>0</v>
      </c>
      <c r="Q145" s="1"/>
      <c r="R145" s="1"/>
      <c r="S145" s="1"/>
      <c r="T145" s="1"/>
      <c r="U145" s="1"/>
    </row>
    <row r="146" spans="2:21">
      <c r="B146" t="str">
        <f t="shared" si="37"/>
        <v/>
      </c>
      <c r="C146" s="49">
        <f>IF(D94="","-",+C145+1)</f>
        <v>2060</v>
      </c>
      <c r="D146" s="11">
        <f>IF(F145+SUM(E$100:E145)=D$93,F145,D$93-SUM(E$100:E145))</f>
        <v>0</v>
      </c>
      <c r="E146" s="447">
        <f t="shared" si="60"/>
        <v>0</v>
      </c>
      <c r="F146" s="54">
        <f t="shared" si="61"/>
        <v>0</v>
      </c>
      <c r="G146" s="54">
        <f t="shared" si="62"/>
        <v>0</v>
      </c>
      <c r="H146" s="459">
        <f t="shared" si="63"/>
        <v>0</v>
      </c>
      <c r="I146" s="448">
        <f t="shared" si="64"/>
        <v>0</v>
      </c>
      <c r="J146" s="53">
        <f t="shared" si="41"/>
        <v>0</v>
      </c>
      <c r="K146" s="53"/>
      <c r="L146" s="112"/>
      <c r="M146" s="53">
        <f t="shared" si="65"/>
        <v>0</v>
      </c>
      <c r="N146" s="112"/>
      <c r="O146" s="53">
        <f t="shared" si="66"/>
        <v>0</v>
      </c>
      <c r="P146" s="53">
        <f t="shared" si="67"/>
        <v>0</v>
      </c>
      <c r="Q146" s="1"/>
      <c r="R146" s="1"/>
      <c r="S146" s="1"/>
      <c r="T146" s="1"/>
      <c r="U146" s="1"/>
    </row>
    <row r="147" spans="2:21">
      <c r="B147" t="str">
        <f t="shared" si="37"/>
        <v/>
      </c>
      <c r="C147" s="49">
        <f>IF(D94="","-",+C146+1)</f>
        <v>2061</v>
      </c>
      <c r="D147" s="11">
        <f>IF(F146+SUM(E$100:E146)=D$93,F146,D$93-SUM(E$100:E146))</f>
        <v>0</v>
      </c>
      <c r="E147" s="447">
        <f t="shared" si="60"/>
        <v>0</v>
      </c>
      <c r="F147" s="54">
        <f t="shared" si="61"/>
        <v>0</v>
      </c>
      <c r="G147" s="54">
        <f t="shared" si="62"/>
        <v>0</v>
      </c>
      <c r="H147" s="459">
        <f t="shared" si="63"/>
        <v>0</v>
      </c>
      <c r="I147" s="448">
        <f t="shared" si="64"/>
        <v>0</v>
      </c>
      <c r="J147" s="53">
        <f t="shared" si="41"/>
        <v>0</v>
      </c>
      <c r="K147" s="53"/>
      <c r="L147" s="112"/>
      <c r="M147" s="53">
        <f t="shared" si="65"/>
        <v>0</v>
      </c>
      <c r="N147" s="112"/>
      <c r="O147" s="53">
        <f t="shared" si="66"/>
        <v>0</v>
      </c>
      <c r="P147" s="53">
        <f t="shared" si="67"/>
        <v>0</v>
      </c>
      <c r="Q147" s="1"/>
      <c r="R147" s="1"/>
      <c r="S147" s="1"/>
      <c r="T147" s="1"/>
      <c r="U147" s="1"/>
    </row>
    <row r="148" spans="2:21">
      <c r="B148" t="str">
        <f t="shared" si="37"/>
        <v/>
      </c>
      <c r="C148" s="49">
        <f>IF(D94="","-",+C147+1)</f>
        <v>2062</v>
      </c>
      <c r="D148" s="11">
        <f>IF(F147+SUM(E$100:E147)=D$93,F147,D$93-SUM(E$100:E147))</f>
        <v>0</v>
      </c>
      <c r="E148" s="447">
        <f t="shared" si="60"/>
        <v>0</v>
      </c>
      <c r="F148" s="54">
        <f t="shared" si="61"/>
        <v>0</v>
      </c>
      <c r="G148" s="54">
        <f t="shared" si="62"/>
        <v>0</v>
      </c>
      <c r="H148" s="459">
        <f t="shared" si="63"/>
        <v>0</v>
      </c>
      <c r="I148" s="448">
        <f t="shared" si="64"/>
        <v>0</v>
      </c>
      <c r="J148" s="53">
        <f t="shared" si="41"/>
        <v>0</v>
      </c>
      <c r="K148" s="53"/>
      <c r="L148" s="112"/>
      <c r="M148" s="53">
        <f t="shared" si="65"/>
        <v>0</v>
      </c>
      <c r="N148" s="112"/>
      <c r="O148" s="53">
        <f t="shared" si="66"/>
        <v>0</v>
      </c>
      <c r="P148" s="53">
        <f t="shared" si="67"/>
        <v>0</v>
      </c>
      <c r="Q148" s="1"/>
      <c r="R148" s="1"/>
      <c r="S148" s="1"/>
      <c r="T148" s="1"/>
      <c r="U148" s="1"/>
    </row>
    <row r="149" spans="2:21">
      <c r="B149" t="str">
        <f t="shared" si="37"/>
        <v/>
      </c>
      <c r="C149" s="49">
        <f>IF(D94="","-",+C148+1)</f>
        <v>2063</v>
      </c>
      <c r="D149" s="11">
        <f>IF(F148+SUM(E$100:E148)=D$93,F148,D$93-SUM(E$100:E148))</f>
        <v>0</v>
      </c>
      <c r="E149" s="447">
        <f t="shared" si="60"/>
        <v>0</v>
      </c>
      <c r="F149" s="54">
        <f t="shared" si="61"/>
        <v>0</v>
      </c>
      <c r="G149" s="54">
        <f t="shared" si="62"/>
        <v>0</v>
      </c>
      <c r="H149" s="459">
        <f t="shared" si="63"/>
        <v>0</v>
      </c>
      <c r="I149" s="448">
        <f t="shared" si="64"/>
        <v>0</v>
      </c>
      <c r="J149" s="53">
        <f t="shared" si="41"/>
        <v>0</v>
      </c>
      <c r="K149" s="53"/>
      <c r="L149" s="112"/>
      <c r="M149" s="53">
        <f t="shared" si="65"/>
        <v>0</v>
      </c>
      <c r="N149" s="112"/>
      <c r="O149" s="53">
        <f t="shared" si="66"/>
        <v>0</v>
      </c>
      <c r="P149" s="53">
        <f t="shared" si="67"/>
        <v>0</v>
      </c>
      <c r="Q149" s="1"/>
      <c r="R149" s="1"/>
      <c r="S149" s="1"/>
      <c r="T149" s="1"/>
      <c r="U149" s="1"/>
    </row>
    <row r="150" spans="2:21">
      <c r="B150" t="str">
        <f t="shared" si="37"/>
        <v/>
      </c>
      <c r="C150" s="49">
        <f>IF(D94="","-",+C149+1)</f>
        <v>2064</v>
      </c>
      <c r="D150" s="11">
        <f>IF(F149+SUM(E$100:E149)=D$93,F149,D$93-SUM(E$100:E149))</f>
        <v>0</v>
      </c>
      <c r="E150" s="447">
        <f t="shared" si="60"/>
        <v>0</v>
      </c>
      <c r="F150" s="54">
        <f t="shared" si="61"/>
        <v>0</v>
      </c>
      <c r="G150" s="54">
        <f t="shared" si="62"/>
        <v>0</v>
      </c>
      <c r="H150" s="459">
        <f t="shared" si="63"/>
        <v>0</v>
      </c>
      <c r="I150" s="448">
        <f t="shared" si="64"/>
        <v>0</v>
      </c>
      <c r="J150" s="53">
        <f t="shared" si="41"/>
        <v>0</v>
      </c>
      <c r="K150" s="53"/>
      <c r="L150" s="112"/>
      <c r="M150" s="53">
        <f t="shared" si="65"/>
        <v>0</v>
      </c>
      <c r="N150" s="112"/>
      <c r="O150" s="53">
        <f t="shared" si="66"/>
        <v>0</v>
      </c>
      <c r="P150" s="53">
        <f t="shared" si="67"/>
        <v>0</v>
      </c>
      <c r="Q150" s="1"/>
      <c r="R150" s="1"/>
      <c r="S150" s="1"/>
      <c r="T150" s="1"/>
      <c r="U150" s="1"/>
    </row>
    <row r="151" spans="2:21">
      <c r="B151" t="str">
        <f t="shared" si="37"/>
        <v/>
      </c>
      <c r="C151" s="49">
        <f>IF(D94="","-",+C150+1)</f>
        <v>2065</v>
      </c>
      <c r="D151" s="11">
        <f>IF(F150+SUM(E$100:E150)=D$93,F150,D$93-SUM(E$100:E150))</f>
        <v>0</v>
      </c>
      <c r="E151" s="447">
        <f t="shared" si="60"/>
        <v>0</v>
      </c>
      <c r="F151" s="54">
        <f t="shared" si="61"/>
        <v>0</v>
      </c>
      <c r="G151" s="54">
        <f t="shared" si="62"/>
        <v>0</v>
      </c>
      <c r="H151" s="459">
        <f t="shared" si="63"/>
        <v>0</v>
      </c>
      <c r="I151" s="448">
        <f t="shared" si="64"/>
        <v>0</v>
      </c>
      <c r="J151" s="53">
        <f t="shared" si="41"/>
        <v>0</v>
      </c>
      <c r="K151" s="53"/>
      <c r="L151" s="112"/>
      <c r="M151" s="53">
        <f t="shared" si="65"/>
        <v>0</v>
      </c>
      <c r="N151" s="112"/>
      <c r="O151" s="53">
        <f t="shared" si="66"/>
        <v>0</v>
      </c>
      <c r="P151" s="53">
        <f t="shared" si="67"/>
        <v>0</v>
      </c>
      <c r="Q151" s="1"/>
      <c r="R151" s="1"/>
      <c r="S151" s="1"/>
      <c r="T151" s="1"/>
      <c r="U151" s="1"/>
    </row>
    <row r="152" spans="2:21">
      <c r="B152" t="str">
        <f t="shared" si="37"/>
        <v/>
      </c>
      <c r="C152" s="49">
        <f>IF(D94="","-",+C151+1)</f>
        <v>2066</v>
      </c>
      <c r="D152" s="11">
        <f>IF(F151+SUM(E$100:E151)=D$93,F151,D$93-SUM(E$100:E151))</f>
        <v>0</v>
      </c>
      <c r="E152" s="447">
        <f t="shared" si="60"/>
        <v>0</v>
      </c>
      <c r="F152" s="54">
        <f t="shared" si="61"/>
        <v>0</v>
      </c>
      <c r="G152" s="54">
        <f t="shared" si="62"/>
        <v>0</v>
      </c>
      <c r="H152" s="459">
        <f t="shared" si="63"/>
        <v>0</v>
      </c>
      <c r="I152" s="448">
        <f t="shared" si="64"/>
        <v>0</v>
      </c>
      <c r="J152" s="53">
        <f t="shared" si="41"/>
        <v>0</v>
      </c>
      <c r="K152" s="53"/>
      <c r="L152" s="112"/>
      <c r="M152" s="53">
        <f t="shared" si="65"/>
        <v>0</v>
      </c>
      <c r="N152" s="112"/>
      <c r="O152" s="53">
        <f t="shared" si="66"/>
        <v>0</v>
      </c>
      <c r="P152" s="53">
        <f t="shared" si="67"/>
        <v>0</v>
      </c>
      <c r="Q152" s="1"/>
      <c r="R152" s="1"/>
      <c r="S152" s="1"/>
      <c r="T152" s="1"/>
      <c r="U152" s="1"/>
    </row>
    <row r="153" spans="2:21">
      <c r="B153" t="str">
        <f t="shared" si="37"/>
        <v/>
      </c>
      <c r="C153" s="49">
        <f>IF(D94="","-",+C152+1)</f>
        <v>2067</v>
      </c>
      <c r="D153" s="11">
        <f>IF(F152+SUM(E$100:E152)=D$93,F152,D$93-SUM(E$100:E152))</f>
        <v>0</v>
      </c>
      <c r="E153" s="447">
        <f t="shared" si="60"/>
        <v>0</v>
      </c>
      <c r="F153" s="54">
        <f t="shared" si="61"/>
        <v>0</v>
      </c>
      <c r="G153" s="54">
        <f t="shared" si="62"/>
        <v>0</v>
      </c>
      <c r="H153" s="459">
        <f t="shared" si="63"/>
        <v>0</v>
      </c>
      <c r="I153" s="448">
        <f t="shared" si="64"/>
        <v>0</v>
      </c>
      <c r="J153" s="53">
        <f t="shared" si="41"/>
        <v>0</v>
      </c>
      <c r="K153" s="53"/>
      <c r="L153" s="112"/>
      <c r="M153" s="53">
        <f t="shared" si="65"/>
        <v>0</v>
      </c>
      <c r="N153" s="112"/>
      <c r="O153" s="53">
        <f t="shared" si="66"/>
        <v>0</v>
      </c>
      <c r="P153" s="53">
        <f t="shared" si="67"/>
        <v>0</v>
      </c>
      <c r="Q153" s="1"/>
      <c r="R153" s="1"/>
      <c r="S153" s="1"/>
      <c r="T153" s="1"/>
      <c r="U153" s="1"/>
    </row>
    <row r="154" spans="2:21">
      <c r="B154" t="str">
        <f t="shared" si="37"/>
        <v/>
      </c>
      <c r="C154" s="49">
        <f>IF(D94="","-",+C153+1)</f>
        <v>2068</v>
      </c>
      <c r="D154" s="11">
        <f>IF(F153+SUM(E$100:E153)=D$93,F153,D$93-SUM(E$100:E153))</f>
        <v>0</v>
      </c>
      <c r="E154" s="447">
        <f t="shared" si="60"/>
        <v>0</v>
      </c>
      <c r="F154" s="54">
        <f t="shared" si="61"/>
        <v>0</v>
      </c>
      <c r="G154" s="54">
        <f t="shared" si="62"/>
        <v>0</v>
      </c>
      <c r="H154" s="459">
        <f t="shared" si="63"/>
        <v>0</v>
      </c>
      <c r="I154" s="448">
        <f t="shared" si="64"/>
        <v>0</v>
      </c>
      <c r="J154" s="53">
        <f t="shared" si="41"/>
        <v>0</v>
      </c>
      <c r="K154" s="53"/>
      <c r="L154" s="112"/>
      <c r="M154" s="53">
        <f t="shared" si="65"/>
        <v>0</v>
      </c>
      <c r="N154" s="112"/>
      <c r="O154" s="53">
        <f t="shared" si="66"/>
        <v>0</v>
      </c>
      <c r="P154" s="53">
        <f t="shared" si="67"/>
        <v>0</v>
      </c>
      <c r="Q154" s="1"/>
      <c r="R154" s="1"/>
      <c r="S154" s="1"/>
      <c r="T154" s="1"/>
      <c r="U154" s="1"/>
    </row>
    <row r="155" spans="2:21" ht="13.5" thickBot="1">
      <c r="B155" t="str">
        <f t="shared" si="37"/>
        <v/>
      </c>
      <c r="C155" s="58">
        <f>IF(D94="","-",+C154+1)</f>
        <v>2069</v>
      </c>
      <c r="D155" s="439">
        <f>IF(F154+SUM(E$100:E154)=D$93,F154,D$93-SUM(E$100:E154))</f>
        <v>0</v>
      </c>
      <c r="E155" s="449">
        <f t="shared" si="60"/>
        <v>0</v>
      </c>
      <c r="F155" s="59">
        <f t="shared" si="61"/>
        <v>0</v>
      </c>
      <c r="G155" s="59">
        <f t="shared" si="62"/>
        <v>0</v>
      </c>
      <c r="H155" s="459">
        <f t="shared" si="63"/>
        <v>0</v>
      </c>
      <c r="I155" s="450">
        <f t="shared" si="64"/>
        <v>0</v>
      </c>
      <c r="J155" s="63">
        <f t="shared" si="41"/>
        <v>0</v>
      </c>
      <c r="K155" s="53"/>
      <c r="L155" s="113"/>
      <c r="M155" s="63">
        <f t="shared" si="65"/>
        <v>0</v>
      </c>
      <c r="N155" s="113"/>
      <c r="O155" s="63">
        <f t="shared" si="66"/>
        <v>0</v>
      </c>
      <c r="P155" s="63">
        <f t="shared" si="67"/>
        <v>0</v>
      </c>
      <c r="Q155" s="1"/>
      <c r="R155" s="1"/>
      <c r="S155" s="1"/>
      <c r="T155" s="1"/>
      <c r="U155" s="1"/>
    </row>
    <row r="156" spans="2:21">
      <c r="C156" s="11" t="s">
        <v>75</v>
      </c>
      <c r="D156" s="242"/>
      <c r="E156" s="242">
        <f>SUM(E100:E155)</f>
        <v>20242585.049999997</v>
      </c>
      <c r="F156" s="242"/>
      <c r="G156" s="242"/>
      <c r="H156" s="242">
        <f>SUM(H100:H155)</f>
        <v>54493516.066401444</v>
      </c>
      <c r="I156" s="242">
        <f>SUM(I100:I155)</f>
        <v>54493516.066401444</v>
      </c>
      <c r="J156" s="242">
        <f>SUM(J100:J155)</f>
        <v>0</v>
      </c>
      <c r="K156" s="242"/>
      <c r="L156" s="242"/>
      <c r="M156" s="242"/>
      <c r="N156" s="242"/>
      <c r="O156" s="242"/>
      <c r="P156" s="1"/>
      <c r="Q156" s="1"/>
      <c r="R156" s="1"/>
      <c r="S156" s="1"/>
      <c r="T156" s="1"/>
      <c r="U156" s="1"/>
    </row>
    <row r="157" spans="2:21">
      <c r="C157" t="s">
        <v>90</v>
      </c>
      <c r="D157" s="2"/>
      <c r="E157" s="1"/>
      <c r="F157" s="1"/>
      <c r="G157" s="1"/>
      <c r="H157" s="1"/>
      <c r="I157" s="260"/>
      <c r="J157" s="260"/>
      <c r="K157" s="242"/>
      <c r="L157" s="260"/>
      <c r="M157" s="260"/>
      <c r="N157" s="260"/>
      <c r="O157" s="260"/>
      <c r="P157" s="1"/>
      <c r="Q157" s="1"/>
      <c r="R157" s="1"/>
      <c r="S157" s="1"/>
      <c r="T157" s="1"/>
      <c r="U157" s="1"/>
    </row>
    <row r="158" spans="2:21">
      <c r="C158" s="83"/>
      <c r="D158" s="2"/>
      <c r="E158" s="1"/>
      <c r="F158" s="1"/>
      <c r="G158" s="1"/>
      <c r="H158" s="1"/>
      <c r="I158" s="260"/>
      <c r="J158" s="260"/>
      <c r="K158" s="242"/>
      <c r="L158" s="260"/>
      <c r="M158" s="260"/>
      <c r="N158" s="260"/>
      <c r="O158" s="260"/>
      <c r="P158" s="1"/>
      <c r="Q158" s="1"/>
      <c r="R158" s="1"/>
      <c r="S158" s="1"/>
      <c r="T158" s="1"/>
      <c r="U158" s="1"/>
    </row>
    <row r="159" spans="2:21">
      <c r="C159" s="97" t="s">
        <v>130</v>
      </c>
      <c r="D159" s="2"/>
      <c r="E159" s="1"/>
      <c r="F159" s="1"/>
      <c r="G159" s="1"/>
      <c r="H159" s="1"/>
      <c r="I159" s="260"/>
      <c r="J159" s="260"/>
      <c r="K159" s="242"/>
      <c r="L159" s="260"/>
      <c r="M159" s="260"/>
      <c r="N159" s="260"/>
      <c r="O159" s="260"/>
      <c r="P159" s="1"/>
      <c r="Q159" s="1"/>
      <c r="R159" s="1"/>
      <c r="S159" s="1"/>
      <c r="T159" s="1"/>
      <c r="U159" s="1"/>
    </row>
    <row r="160" spans="2:21">
      <c r="C160" s="25" t="s">
        <v>76</v>
      </c>
      <c r="D160" s="11"/>
      <c r="E160" s="11"/>
      <c r="F160" s="11"/>
      <c r="G160" s="11"/>
      <c r="H160" s="242"/>
      <c r="I160" s="242"/>
      <c r="J160" s="64"/>
      <c r="K160" s="64"/>
      <c r="L160" s="64"/>
      <c r="M160" s="64"/>
      <c r="N160" s="64"/>
      <c r="O160" s="64"/>
      <c r="P160" s="1"/>
      <c r="Q160" s="1"/>
      <c r="R160" s="1"/>
      <c r="S160" s="1"/>
      <c r="T160" s="1"/>
      <c r="U160" s="1"/>
    </row>
    <row r="161" spans="3:21">
      <c r="C161" s="84" t="s">
        <v>77</v>
      </c>
      <c r="D161" s="11"/>
      <c r="E161" s="11"/>
      <c r="F161" s="11"/>
      <c r="G161" s="11"/>
      <c r="H161" s="242"/>
      <c r="I161" s="242"/>
      <c r="J161" s="64"/>
      <c r="K161" s="64"/>
      <c r="L161" s="64"/>
      <c r="M161" s="64"/>
      <c r="N161" s="64"/>
      <c r="O161" s="64"/>
      <c r="P161" s="1"/>
      <c r="Q161" s="1"/>
      <c r="R161" s="1"/>
      <c r="S161" s="1"/>
      <c r="T161" s="1"/>
      <c r="U161" s="1"/>
    </row>
    <row r="162" spans="3:21">
      <c r="C162" s="84"/>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33" priority="1" stopIfTrue="1" operator="equal">
      <formula>$I$10</formula>
    </cfRule>
  </conditionalFormatting>
  <conditionalFormatting sqref="C100:C155">
    <cfRule type="cellIs" dxfId="32"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64">
    <tabColor theme="9" tint="0.39997558519241921"/>
  </sheetPr>
  <dimension ref="A1:U163"/>
  <sheetViews>
    <sheetView topLeftCell="A67" zoomScaleNormal="100" zoomScaleSheetLayoutView="78" workbookViewId="0">
      <selection activeCell="D94" sqref="D94"/>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"&amp;RIGHT(MID(CELL("filename",$A$1),FIND("]",CELL("filename",$A$1))+1,256),2)&amp;" of "&amp;COUNT('OKT.001:OKT.xyz - blank'!$P$3)-1</f>
        <v>OKT Project 12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1534878.7735417741</v>
      </c>
      <c r="P5" s="1"/>
      <c r="R5" s="1"/>
      <c r="S5" s="1"/>
      <c r="T5" s="1"/>
      <c r="U5" s="1"/>
    </row>
    <row r="6" spans="1:21" ht="15.75">
      <c r="C6" s="6"/>
      <c r="D6" s="2"/>
      <c r="E6" s="1"/>
      <c r="F6" s="1"/>
      <c r="G6" s="1"/>
      <c r="H6" s="351"/>
      <c r="I6" s="351"/>
      <c r="J6" s="352"/>
      <c r="K6" s="22" t="s">
        <v>243</v>
      </c>
      <c r="L6" s="353"/>
      <c r="M6" s="1"/>
      <c r="N6" s="354">
        <f>VLOOKUP(I10,C17:I73,6)</f>
        <v>1534878.7735417741</v>
      </c>
      <c r="O6" s="1"/>
      <c r="P6" s="1"/>
      <c r="R6" s="1"/>
      <c r="S6" s="1"/>
      <c r="T6" s="1"/>
      <c r="U6" s="1"/>
    </row>
    <row r="7" spans="1:21" ht="13.5" thickBot="1">
      <c r="C7" s="25" t="s">
        <v>46</v>
      </c>
      <c r="D7" s="96" t="s">
        <v>224</v>
      </c>
      <c r="E7" s="1"/>
      <c r="F7" s="1"/>
      <c r="G7" s="1"/>
      <c r="H7" s="260"/>
      <c r="I7" s="260"/>
      <c r="J7" s="242"/>
      <c r="K7" s="355" t="s">
        <v>47</v>
      </c>
      <c r="L7" s="356"/>
      <c r="M7" s="356"/>
      <c r="N7" s="357">
        <f>+N6-N5</f>
        <v>0</v>
      </c>
      <c r="O7" s="1"/>
      <c r="P7" s="1"/>
      <c r="R7" s="1"/>
      <c r="S7" s="1"/>
      <c r="T7" s="1"/>
      <c r="U7" s="1"/>
    </row>
    <row r="8" spans="1:21" ht="13.5" thickBot="1">
      <c r="C8" s="29"/>
      <c r="D8" s="1" t="s">
        <v>230</v>
      </c>
      <c r="E8" s="10"/>
      <c r="F8" s="10"/>
      <c r="G8" s="10"/>
      <c r="H8" s="10"/>
      <c r="I8" s="10"/>
      <c r="J8" s="10"/>
      <c r="K8" s="10"/>
      <c r="L8" s="10"/>
      <c r="M8" s="10"/>
      <c r="N8" s="10"/>
      <c r="O8" s="10"/>
      <c r="P8" s="1"/>
      <c r="R8" s="1"/>
      <c r="S8" s="1"/>
      <c r="T8" s="1"/>
      <c r="U8" s="1"/>
    </row>
    <row r="9" spans="1:21" ht="13.5" thickBot="1">
      <c r="C9" s="30" t="s">
        <v>48</v>
      </c>
      <c r="D9" s="89" t="s">
        <v>223</v>
      </c>
      <c r="E9" s="31" t="s">
        <v>310</v>
      </c>
      <c r="F9" s="526">
        <v>30746</v>
      </c>
      <c r="G9" s="31"/>
      <c r="H9" s="31"/>
      <c r="I9" s="32"/>
      <c r="J9" s="33"/>
      <c r="P9" s="1"/>
      <c r="R9" s="1"/>
      <c r="S9" s="1"/>
      <c r="T9" s="1"/>
      <c r="U9" s="1"/>
    </row>
    <row r="10" spans="1:21">
      <c r="C10" s="34" t="s">
        <v>49</v>
      </c>
      <c r="D10" s="358">
        <v>13254470</v>
      </c>
      <c r="E10" s="1" t="s">
        <v>50</v>
      </c>
      <c r="G10" s="2"/>
      <c r="H10" s="2"/>
      <c r="I10" s="36">
        <f>+'OKT.WS.F.BPU.ATRR.Projected'!R100</f>
        <v>2025</v>
      </c>
      <c r="J10" s="33"/>
      <c r="K10" s="242" t="s">
        <v>51</v>
      </c>
      <c r="O10" s="1"/>
      <c r="P10" s="1"/>
      <c r="R10" s="1"/>
      <c r="S10" s="1"/>
      <c r="T10" s="1"/>
      <c r="U10" s="1"/>
    </row>
    <row r="11" spans="1:21">
      <c r="C11" s="34" t="s">
        <v>52</v>
      </c>
      <c r="D11" s="37">
        <v>2014</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4</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441815.66666666669</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73" si="0">IF(D17=F16,"","IU")</f>
        <v>IU</v>
      </c>
      <c r="C17" s="49">
        <f>IF(D11= "","-",D11)</f>
        <v>2014</v>
      </c>
      <c r="D17" s="433">
        <v>13254470.189999999</v>
      </c>
      <c r="E17" s="440">
        <v>38215.310782576453</v>
      </c>
      <c r="F17" s="433">
        <v>13216254.879217423</v>
      </c>
      <c r="G17" s="440">
        <v>401752.61137886974</v>
      </c>
      <c r="H17" s="438">
        <v>401752.61137886974</v>
      </c>
      <c r="I17" s="451">
        <v>0</v>
      </c>
      <c r="J17" s="51"/>
      <c r="K17" s="114">
        <f t="shared" ref="K17:K22" si="1">G17</f>
        <v>401752.61137886974</v>
      </c>
      <c r="L17" s="52">
        <f t="shared" ref="L17:L22" si="2">IF(K17&lt;&gt;0,+G17-K17,0)</f>
        <v>0</v>
      </c>
      <c r="M17" s="114">
        <f t="shared" ref="M17:M22" si="3">H17</f>
        <v>401752.61137886974</v>
      </c>
      <c r="N17" s="52">
        <f>IF(M17&lt;&gt;0,+H17-M17,0)</f>
        <v>0</v>
      </c>
      <c r="O17" s="53">
        <f>+N17-L17</f>
        <v>0</v>
      </c>
      <c r="P17" s="1"/>
      <c r="R17" s="1"/>
      <c r="S17" s="1"/>
      <c r="T17" s="1"/>
      <c r="U17" s="1"/>
    </row>
    <row r="18" spans="2:21">
      <c r="B18" t="str">
        <f t="shared" si="0"/>
        <v/>
      </c>
      <c r="C18" s="49">
        <f>IF(D11="","-",+C17+1)</f>
        <v>2015</v>
      </c>
      <c r="D18" s="435">
        <v>13216254.879217423</v>
      </c>
      <c r="E18" s="434">
        <v>229291.86469545873</v>
      </c>
      <c r="F18" s="435">
        <v>12986963.014521964</v>
      </c>
      <c r="G18" s="434">
        <v>1658212.6960173119</v>
      </c>
      <c r="H18" s="438">
        <v>1658212.6960173119</v>
      </c>
      <c r="I18" s="451">
        <v>0</v>
      </c>
      <c r="J18" s="51"/>
      <c r="K18" s="376">
        <f t="shared" si="1"/>
        <v>1658212.6960173119</v>
      </c>
      <c r="L18" s="53">
        <f t="shared" si="2"/>
        <v>0</v>
      </c>
      <c r="M18" s="376">
        <f t="shared" si="3"/>
        <v>1658212.6960173119</v>
      </c>
      <c r="N18" s="53">
        <f>IF(M18&lt;&gt;0,+H18-M18,0)</f>
        <v>0</v>
      </c>
      <c r="O18" s="53">
        <f>+N18-L18</f>
        <v>0</v>
      </c>
      <c r="P18" s="1"/>
      <c r="R18" s="1"/>
      <c r="S18" s="1"/>
      <c r="T18" s="1"/>
      <c r="U18" s="1"/>
    </row>
    <row r="19" spans="2:21">
      <c r="B19" t="str">
        <f t="shared" si="0"/>
        <v/>
      </c>
      <c r="C19" s="49">
        <f>IF(D11="","-",+C18+1)</f>
        <v>2016</v>
      </c>
      <c r="D19" s="435">
        <v>12986963.014521964</v>
      </c>
      <c r="E19" s="434">
        <v>229291.86469545873</v>
      </c>
      <c r="F19" s="435">
        <v>12757671.149826504</v>
      </c>
      <c r="G19" s="434">
        <v>1544166.8315919416</v>
      </c>
      <c r="H19" s="438">
        <v>1544166.8315919416</v>
      </c>
      <c r="I19" s="51">
        <v>0</v>
      </c>
      <c r="J19" s="51"/>
      <c r="K19" s="376">
        <f t="shared" si="1"/>
        <v>1544166.8315919416</v>
      </c>
      <c r="L19" s="53">
        <f t="shared" si="2"/>
        <v>0</v>
      </c>
      <c r="M19" s="376">
        <f t="shared" si="3"/>
        <v>1544166.8315919416</v>
      </c>
      <c r="N19" s="53">
        <f>IF(M19&lt;&gt;0,+H19-M19,0)</f>
        <v>0</v>
      </c>
      <c r="O19" s="53">
        <f>+N19-L19</f>
        <v>0</v>
      </c>
      <c r="P19" s="1"/>
      <c r="R19" s="1"/>
      <c r="S19" s="1"/>
      <c r="T19" s="1"/>
      <c r="U19" s="1"/>
    </row>
    <row r="20" spans="2:21">
      <c r="B20" t="str">
        <f t="shared" si="0"/>
        <v/>
      </c>
      <c r="C20" s="49">
        <f>IF(D11="","-",+C19+1)</f>
        <v>2017</v>
      </c>
      <c r="D20" s="435">
        <v>12757671.149826504</v>
      </c>
      <c r="E20" s="434">
        <v>275420.65562452108</v>
      </c>
      <c r="F20" s="435">
        <v>12482250.494201982</v>
      </c>
      <c r="G20" s="434">
        <v>1622010.458293594</v>
      </c>
      <c r="H20" s="438">
        <v>1622010.458293594</v>
      </c>
      <c r="I20" s="51">
        <f>H20-G20</f>
        <v>0</v>
      </c>
      <c r="J20" s="51"/>
      <c r="K20" s="376">
        <f t="shared" si="1"/>
        <v>1622010.458293594</v>
      </c>
      <c r="L20" s="53">
        <f t="shared" si="2"/>
        <v>0</v>
      </c>
      <c r="M20" s="376">
        <f t="shared" si="3"/>
        <v>1622010.458293594</v>
      </c>
      <c r="N20" s="53">
        <f t="shared" ref="N20:N73" si="4">IF(M20&lt;&gt;0,+H20-M20,0)</f>
        <v>0</v>
      </c>
      <c r="O20" s="53">
        <f t="shared" ref="O20:O73" si="5">+N20-L20</f>
        <v>0</v>
      </c>
      <c r="P20" s="1"/>
      <c r="R20" s="1"/>
      <c r="S20" s="1"/>
      <c r="T20" s="1"/>
      <c r="U20" s="1"/>
    </row>
    <row r="21" spans="2:21">
      <c r="B21" t="str">
        <f t="shared" si="0"/>
        <v>IU</v>
      </c>
      <c r="C21" s="49">
        <f>IF(D11="","-",+C20+1)</f>
        <v>2018</v>
      </c>
      <c r="D21" s="462">
        <v>12221641.369282497</v>
      </c>
      <c r="E21" s="463">
        <v>325060.34019690572</v>
      </c>
      <c r="F21" s="462">
        <v>11896581.029085591</v>
      </c>
      <c r="G21" s="463">
        <v>1741897.6993738853</v>
      </c>
      <c r="H21" s="464">
        <v>1741897.6993738853</v>
      </c>
      <c r="I21" s="51">
        <f t="shared" ref="I21:I73" si="6">H21-G21</f>
        <v>0</v>
      </c>
      <c r="J21" s="51"/>
      <c r="K21" s="376">
        <f t="shared" si="1"/>
        <v>1741897.6993738853</v>
      </c>
      <c r="L21" s="53">
        <f t="shared" si="2"/>
        <v>0</v>
      </c>
      <c r="M21" s="376">
        <f t="shared" si="3"/>
        <v>1741897.6993738853</v>
      </c>
      <c r="N21" s="53">
        <f>IF(M21&lt;&gt;0,+H21-M21,0)</f>
        <v>0</v>
      </c>
      <c r="O21" s="53">
        <f>+N21-L21</f>
        <v>0</v>
      </c>
      <c r="P21" s="1"/>
      <c r="R21" s="1"/>
      <c r="S21" s="1"/>
      <c r="T21" s="1"/>
      <c r="U21" s="1"/>
    </row>
    <row r="22" spans="2:21">
      <c r="B22" t="str">
        <f t="shared" si="0"/>
        <v/>
      </c>
      <c r="C22" s="49">
        <f>IF(D11="","-",+C21+1)</f>
        <v>2019</v>
      </c>
      <c r="D22" s="462">
        <v>11896581.029085591</v>
      </c>
      <c r="E22" s="463">
        <v>325060.34019690572</v>
      </c>
      <c r="F22" s="462">
        <v>11571520.688888686</v>
      </c>
      <c r="G22" s="463">
        <v>1703706.0261758706</v>
      </c>
      <c r="H22" s="464">
        <v>1703706.0261758706</v>
      </c>
      <c r="I22" s="51">
        <v>0</v>
      </c>
      <c r="J22" s="51"/>
      <c r="K22" s="376">
        <f t="shared" si="1"/>
        <v>1703706.0261758706</v>
      </c>
      <c r="L22" s="53">
        <f t="shared" si="2"/>
        <v>0</v>
      </c>
      <c r="M22" s="376">
        <f t="shared" si="3"/>
        <v>1703706.0261758706</v>
      </c>
      <c r="N22" s="53">
        <f>IF(M22&lt;&gt;0,+H22-M22,0)</f>
        <v>0</v>
      </c>
      <c r="O22" s="53">
        <f>+N22-L22</f>
        <v>0</v>
      </c>
      <c r="P22" s="1"/>
      <c r="R22" s="1"/>
      <c r="S22" s="1"/>
      <c r="T22" s="1"/>
      <c r="U22" s="1"/>
    </row>
    <row r="23" spans="2:21">
      <c r="B23" t="str">
        <f t="shared" si="0"/>
        <v/>
      </c>
      <c r="C23" s="49">
        <f>IF(D11="","-",+C22+1)</f>
        <v>2020</v>
      </c>
      <c r="D23" s="462">
        <v>11571520.688888686</v>
      </c>
      <c r="E23" s="463">
        <v>388114.48634834524</v>
      </c>
      <c r="F23" s="462">
        <v>11183406.20254034</v>
      </c>
      <c r="G23" s="463">
        <v>1581979.7861437595</v>
      </c>
      <c r="H23" s="464">
        <v>1581979.7861437595</v>
      </c>
      <c r="I23" s="51">
        <f t="shared" si="6"/>
        <v>0</v>
      </c>
      <c r="J23" s="51"/>
      <c r="K23" s="376">
        <f t="shared" ref="K23" si="7">G23</f>
        <v>1581979.7861437595</v>
      </c>
      <c r="L23" s="53">
        <f t="shared" ref="L23" si="8">IF(K23&lt;&gt;0,+G23-K23,0)</f>
        <v>0</v>
      </c>
      <c r="M23" s="376">
        <f t="shared" ref="M23" si="9">H23</f>
        <v>1581979.7861437595</v>
      </c>
      <c r="N23" s="53">
        <f>IF(M23&lt;&gt;0,+H23-M23,0)</f>
        <v>0</v>
      </c>
      <c r="O23" s="53">
        <f>+N23-L23</f>
        <v>0</v>
      </c>
      <c r="P23" s="1"/>
      <c r="R23" s="1"/>
      <c r="S23" s="1"/>
      <c r="T23" s="1"/>
      <c r="U23" s="1"/>
    </row>
    <row r="24" spans="2:21">
      <c r="B24" t="str">
        <f t="shared" si="0"/>
        <v>IU</v>
      </c>
      <c r="C24" s="49">
        <f>IF(D11="","-",+C23+1)</f>
        <v>2021</v>
      </c>
      <c r="D24" s="462">
        <v>11075905.172169829</v>
      </c>
      <c r="E24" s="463">
        <v>427563.55451612902</v>
      </c>
      <c r="F24" s="462">
        <v>10648341.6176537</v>
      </c>
      <c r="G24" s="463">
        <v>1602683.1037737736</v>
      </c>
      <c r="H24" s="464">
        <v>1602683.1037737736</v>
      </c>
      <c r="I24" s="51">
        <f t="shared" si="6"/>
        <v>0</v>
      </c>
      <c r="J24" s="51"/>
      <c r="K24" s="376">
        <f t="shared" ref="K24" si="10">G24</f>
        <v>1602683.1037737736</v>
      </c>
      <c r="L24" s="53">
        <f t="shared" ref="L24" si="11">IF(K24&lt;&gt;0,+G24-K24,0)</f>
        <v>0</v>
      </c>
      <c r="M24" s="376">
        <f t="shared" ref="M24" si="12">H24</f>
        <v>1602683.1037737736</v>
      </c>
      <c r="N24" s="53">
        <f t="shared" si="4"/>
        <v>0</v>
      </c>
      <c r="O24" s="53">
        <f t="shared" si="5"/>
        <v>0</v>
      </c>
      <c r="P24" s="1"/>
      <c r="R24" s="1"/>
      <c r="S24" s="1"/>
      <c r="T24" s="1"/>
      <c r="U24" s="1"/>
    </row>
    <row r="25" spans="2:21">
      <c r="B25" t="str">
        <f t="shared" si="0"/>
        <v>IU</v>
      </c>
      <c r="C25" s="49">
        <f>IF(D11="","-",+C24+1)</f>
        <v>2022</v>
      </c>
      <c r="D25" s="462">
        <v>11016451.772943698</v>
      </c>
      <c r="E25" s="463">
        <v>389837.35852941172</v>
      </c>
      <c r="F25" s="462">
        <v>10626614.414414287</v>
      </c>
      <c r="G25" s="463">
        <v>1541434.0555617388</v>
      </c>
      <c r="H25" s="464">
        <v>1541434.0555617388</v>
      </c>
      <c r="I25" s="51">
        <f t="shared" si="6"/>
        <v>0</v>
      </c>
      <c r="J25" s="51"/>
      <c r="K25" s="376">
        <f t="shared" ref="K25" si="13">G25</f>
        <v>1541434.0555617388</v>
      </c>
      <c r="L25" s="53">
        <f t="shared" ref="L25" si="14">IF(K25&lt;&gt;0,+G25-K25,0)</f>
        <v>0</v>
      </c>
      <c r="M25" s="376">
        <f t="shared" ref="M25" si="15">H25</f>
        <v>1541434.0555617388</v>
      </c>
      <c r="N25" s="53">
        <f t="shared" si="4"/>
        <v>0</v>
      </c>
      <c r="O25" s="53">
        <f t="shared" si="5"/>
        <v>0</v>
      </c>
      <c r="P25" s="1"/>
      <c r="R25" s="1"/>
      <c r="S25" s="1"/>
      <c r="T25" s="1"/>
      <c r="U25" s="1"/>
    </row>
    <row r="26" spans="2:21">
      <c r="B26" t="str">
        <f t="shared" si="0"/>
        <v>IU</v>
      </c>
      <c r="C26" s="49">
        <f>IF(D11="","-",+C25+1)</f>
        <v>2023</v>
      </c>
      <c r="D26" s="462">
        <v>10626614.224414287</v>
      </c>
      <c r="E26" s="463">
        <v>427563.54838709679</v>
      </c>
      <c r="F26" s="462">
        <v>10199050.67602719</v>
      </c>
      <c r="G26" s="463">
        <v>1604555.7292482569</v>
      </c>
      <c r="H26" s="464">
        <v>1604555.7292482569</v>
      </c>
      <c r="I26" s="51">
        <f t="shared" si="6"/>
        <v>0</v>
      </c>
      <c r="J26" s="51"/>
      <c r="K26" s="376">
        <f t="shared" ref="K26" si="16">G26</f>
        <v>1604555.7292482569</v>
      </c>
      <c r="L26" s="53">
        <f t="shared" ref="L26" si="17">IF(K26&lt;&gt;0,+G26-K26,0)</f>
        <v>0</v>
      </c>
      <c r="M26" s="376">
        <f t="shared" ref="M26" si="18">H26</f>
        <v>1604555.7292482569</v>
      </c>
      <c r="N26" s="53">
        <f t="shared" si="4"/>
        <v>0</v>
      </c>
      <c r="O26" s="53">
        <f t="shared" si="5"/>
        <v>0</v>
      </c>
      <c r="P26" s="1"/>
      <c r="R26" s="1"/>
      <c r="S26" s="1"/>
      <c r="T26" s="1"/>
      <c r="U26" s="1"/>
    </row>
    <row r="27" spans="2:21">
      <c r="B27" t="str">
        <f t="shared" si="0"/>
        <v/>
      </c>
      <c r="C27" s="49">
        <f>IF(D11="","-",+C26+1)</f>
        <v>2024</v>
      </c>
      <c r="D27" s="462">
        <v>10199050.67602719</v>
      </c>
      <c r="E27" s="463">
        <v>427563.54838709679</v>
      </c>
      <c r="F27" s="462">
        <v>9771487.1276400927</v>
      </c>
      <c r="G27" s="463">
        <v>1565201.541840293</v>
      </c>
      <c r="H27" s="464">
        <v>1565201.541840293</v>
      </c>
      <c r="I27" s="51">
        <f t="shared" si="6"/>
        <v>0</v>
      </c>
      <c r="J27" s="51"/>
      <c r="K27" s="376">
        <f t="shared" ref="K27" si="19">G27</f>
        <v>1565201.541840293</v>
      </c>
      <c r="L27" s="53">
        <f t="shared" ref="L27" si="20">IF(K27&lt;&gt;0,+G27-K27,0)</f>
        <v>0</v>
      </c>
      <c r="M27" s="376">
        <f t="shared" ref="M27" si="21">H27</f>
        <v>1565201.541840293</v>
      </c>
      <c r="N27" s="53">
        <f t="shared" ref="N27" si="22">IF(M27&lt;&gt;0,+H27-M27,0)</f>
        <v>0</v>
      </c>
      <c r="O27" s="53">
        <f t="shared" ref="O27" si="23">+N27-L27</f>
        <v>0</v>
      </c>
      <c r="P27" s="1"/>
      <c r="R27" s="1"/>
      <c r="S27" s="1"/>
      <c r="T27" s="1"/>
      <c r="U27" s="1"/>
    </row>
    <row r="28" spans="2:21">
      <c r="B28" t="str">
        <f t="shared" si="0"/>
        <v/>
      </c>
      <c r="C28" s="49">
        <f>IF(D11="","-",+C27+1)</f>
        <v>2025</v>
      </c>
      <c r="D28" s="54">
        <v>9771487.1276400927</v>
      </c>
      <c r="E28" s="377">
        <v>441815.66666666669</v>
      </c>
      <c r="F28" s="54">
        <v>9329671.4609734267</v>
      </c>
      <c r="G28" s="378">
        <v>1534878.7735417741</v>
      </c>
      <c r="H28" s="359">
        <v>1534878.7735417741</v>
      </c>
      <c r="I28" s="51">
        <f t="shared" si="6"/>
        <v>0</v>
      </c>
      <c r="J28" s="51"/>
      <c r="K28" s="376">
        <f t="shared" ref="K28" si="24">G28</f>
        <v>1534878.7735417741</v>
      </c>
      <c r="L28" s="53">
        <f t="shared" ref="L28" si="25">IF(K28&lt;&gt;0,+G28-K28,0)</f>
        <v>0</v>
      </c>
      <c r="M28" s="376">
        <f t="shared" ref="M28" si="26">H28</f>
        <v>1534878.7735417741</v>
      </c>
      <c r="N28" s="53">
        <f t="shared" ref="N28" si="27">IF(M28&lt;&gt;0,+H28-M28,0)</f>
        <v>0</v>
      </c>
      <c r="O28" s="53">
        <f t="shared" ref="O28" si="28">+N28-L28</f>
        <v>0</v>
      </c>
      <c r="P28" s="1"/>
      <c r="R28" s="1"/>
      <c r="S28" s="1"/>
      <c r="T28" s="1"/>
      <c r="U28" s="1"/>
    </row>
    <row r="29" spans="2:21">
      <c r="B29" t="str">
        <f t="shared" si="0"/>
        <v/>
      </c>
      <c r="C29" s="49">
        <f>IF(D11="","-",+C28+1)</f>
        <v>2026</v>
      </c>
      <c r="D29" s="54">
        <f>IF(F28+SUM(E$17:E28)=D$10,F28,D$10-SUM(E$17:E28))</f>
        <v>9329671.4609734267</v>
      </c>
      <c r="E29" s="377">
        <f t="shared" ref="E29:E73" si="29">IF(+$I$14&lt;F28,$I$14,D29)</f>
        <v>441815.66666666669</v>
      </c>
      <c r="F29" s="54">
        <f t="shared" ref="F29:F73" si="30">+D29-E29</f>
        <v>8887855.7943067607</v>
      </c>
      <c r="G29" s="378">
        <f t="shared" ref="G29:G73" si="31">(D29+F29)/2*I$12+E29</f>
        <v>1484313.0025669555</v>
      </c>
      <c r="H29" s="359">
        <f t="shared" ref="H29:H73" si="32">+(D29+F29)/2*I$13+E29</f>
        <v>1484313.0025669555</v>
      </c>
      <c r="I29" s="51">
        <f t="shared" si="6"/>
        <v>0</v>
      </c>
      <c r="J29" s="51"/>
      <c r="K29" s="112"/>
      <c r="L29" s="53">
        <f t="shared" ref="L29:L73" si="33">IF(K29&lt;&gt;0,+G29-K29,0)</f>
        <v>0</v>
      </c>
      <c r="M29" s="112"/>
      <c r="N29" s="53">
        <f t="shared" si="4"/>
        <v>0</v>
      </c>
      <c r="O29" s="53">
        <f t="shared" si="5"/>
        <v>0</v>
      </c>
      <c r="P29" s="1"/>
      <c r="R29" s="1"/>
      <c r="S29" s="1"/>
      <c r="T29" s="1"/>
      <c r="U29" s="1"/>
    </row>
    <row r="30" spans="2:21">
      <c r="B30" t="str">
        <f t="shared" si="0"/>
        <v/>
      </c>
      <c r="C30" s="49">
        <f>IF(D11="","-",+C29+1)</f>
        <v>2027</v>
      </c>
      <c r="D30" s="54">
        <f>IF(F29+SUM(E$17:E29)=D$10,F29,D$10-SUM(E$17:E29))</f>
        <v>8887855.7943067607</v>
      </c>
      <c r="E30" s="377">
        <f t="shared" si="29"/>
        <v>441815.66666666669</v>
      </c>
      <c r="F30" s="54">
        <f t="shared" si="30"/>
        <v>8446040.1276400946</v>
      </c>
      <c r="G30" s="378">
        <f t="shared" si="31"/>
        <v>1433747.2315921364</v>
      </c>
      <c r="H30" s="359">
        <f t="shared" si="32"/>
        <v>1433747.2315921364</v>
      </c>
      <c r="I30" s="51">
        <f t="shared" si="6"/>
        <v>0</v>
      </c>
      <c r="J30" s="51"/>
      <c r="K30" s="112"/>
      <c r="L30" s="53">
        <f t="shared" si="33"/>
        <v>0</v>
      </c>
      <c r="M30" s="112"/>
      <c r="N30" s="53">
        <f t="shared" si="4"/>
        <v>0</v>
      </c>
      <c r="O30" s="53">
        <f t="shared" si="5"/>
        <v>0</v>
      </c>
      <c r="P30" s="1"/>
      <c r="R30" s="1"/>
      <c r="S30" s="1"/>
      <c r="T30" s="1"/>
      <c r="U30" s="1"/>
    </row>
    <row r="31" spans="2:21">
      <c r="B31" t="str">
        <f t="shared" si="0"/>
        <v/>
      </c>
      <c r="C31" s="49">
        <f>IF(D11="","-",+C30+1)</f>
        <v>2028</v>
      </c>
      <c r="D31" s="54">
        <f>IF(F30+SUM(E$17:E30)=D$10,F30,D$10-SUM(E$17:E30))</f>
        <v>8446040.1276400946</v>
      </c>
      <c r="E31" s="377">
        <f t="shared" si="29"/>
        <v>441815.66666666669</v>
      </c>
      <c r="F31" s="54">
        <f t="shared" si="30"/>
        <v>8004224.4609734276</v>
      </c>
      <c r="G31" s="378">
        <f t="shared" si="31"/>
        <v>1383181.4606173174</v>
      </c>
      <c r="H31" s="359">
        <f t="shared" si="32"/>
        <v>1383181.4606173174</v>
      </c>
      <c r="I31" s="51">
        <f t="shared" si="6"/>
        <v>0</v>
      </c>
      <c r="J31" s="51"/>
      <c r="K31" s="112"/>
      <c r="L31" s="53">
        <f t="shared" si="33"/>
        <v>0</v>
      </c>
      <c r="M31" s="112"/>
      <c r="N31" s="53">
        <f t="shared" si="4"/>
        <v>0</v>
      </c>
      <c r="O31" s="53">
        <f t="shared" si="5"/>
        <v>0</v>
      </c>
      <c r="P31" s="1"/>
      <c r="R31" s="1"/>
      <c r="S31" s="1"/>
      <c r="T31" s="1"/>
      <c r="U31" s="1"/>
    </row>
    <row r="32" spans="2:21">
      <c r="B32" t="str">
        <f t="shared" si="0"/>
        <v/>
      </c>
      <c r="C32" s="49">
        <f>IF(D12="","-",+C31+1)</f>
        <v>2029</v>
      </c>
      <c r="D32" s="54">
        <f>IF(F31+SUM(E$17:E31)=D$10,F31,D$10-SUM(E$17:E31))</f>
        <v>8004224.4609734276</v>
      </c>
      <c r="E32" s="377">
        <f>IF(+$I$14&lt;F31,$I$14,D32)</f>
        <v>441815.66666666669</v>
      </c>
      <c r="F32" s="54">
        <f>+D32-E32</f>
        <v>7562408.7943067607</v>
      </c>
      <c r="G32" s="378">
        <f t="shared" si="31"/>
        <v>1332615.6896424985</v>
      </c>
      <c r="H32" s="359">
        <f t="shared" si="32"/>
        <v>1332615.6896424985</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2030</v>
      </c>
      <c r="D33" s="54">
        <f>IF(F32+SUM(E$17:E32)=D$10,F32,D$10-SUM(E$17:E32))</f>
        <v>7562408.7943067607</v>
      </c>
      <c r="E33" s="377">
        <f>IF(+$I$14&lt;F32,$I$14,D33)</f>
        <v>441815.66666666669</v>
      </c>
      <c r="F33" s="54">
        <f>+D33-E33</f>
        <v>7120593.1276400937</v>
      </c>
      <c r="G33" s="378">
        <f t="shared" si="31"/>
        <v>1282049.9186676794</v>
      </c>
      <c r="H33" s="359">
        <f t="shared" si="32"/>
        <v>1282049.9186676794</v>
      </c>
      <c r="I33" s="51">
        <f>H33-G33</f>
        <v>0</v>
      </c>
      <c r="J33" s="51"/>
      <c r="K33" s="112"/>
      <c r="L33" s="53">
        <f>IF(K33&lt;&gt;0,+G33-K33,0)</f>
        <v>0</v>
      </c>
      <c r="M33" s="112"/>
      <c r="N33" s="53">
        <f>IF(M33&lt;&gt;0,+H33-M33,0)</f>
        <v>0</v>
      </c>
      <c r="O33" s="53">
        <f>+N33-L33</f>
        <v>0</v>
      </c>
      <c r="P33" s="1"/>
      <c r="R33" s="1"/>
      <c r="S33" s="1"/>
      <c r="T33" s="1"/>
      <c r="U33" s="1"/>
    </row>
    <row r="34" spans="2:21">
      <c r="B34" t="str">
        <f t="shared" si="0"/>
        <v/>
      </c>
      <c r="C34" s="379">
        <f>IF(D11="","-",+C33+1)</f>
        <v>2031</v>
      </c>
      <c r="D34" s="380">
        <f>IF(F33+SUM(E$17:E33)=D$10,F33,D$10-SUM(E$17:E33))</f>
        <v>7120593.1276400937</v>
      </c>
      <c r="E34" s="381">
        <f t="shared" si="29"/>
        <v>441815.66666666669</v>
      </c>
      <c r="F34" s="380">
        <f t="shared" si="30"/>
        <v>6678777.4609734267</v>
      </c>
      <c r="G34" s="378">
        <f t="shared" si="31"/>
        <v>1231484.1476928606</v>
      </c>
      <c r="H34" s="359">
        <f t="shared" si="32"/>
        <v>1231484.1476928606</v>
      </c>
      <c r="I34" s="384">
        <f t="shared" si="6"/>
        <v>0</v>
      </c>
      <c r="J34" s="384"/>
      <c r="K34" s="385"/>
      <c r="L34" s="386">
        <f t="shared" si="33"/>
        <v>0</v>
      </c>
      <c r="M34" s="385"/>
      <c r="N34" s="386">
        <f t="shared" si="4"/>
        <v>0</v>
      </c>
      <c r="O34" s="386">
        <f t="shared" si="5"/>
        <v>0</v>
      </c>
      <c r="P34" s="387"/>
      <c r="Q34" s="187"/>
      <c r="R34" s="387"/>
      <c r="S34" s="387"/>
      <c r="T34" s="387"/>
      <c r="U34" s="1"/>
    </row>
    <row r="35" spans="2:21">
      <c r="B35" t="str">
        <f t="shared" si="0"/>
        <v/>
      </c>
      <c r="C35" s="49">
        <f>IF(D11="","-",+C34+1)</f>
        <v>2032</v>
      </c>
      <c r="D35" s="54">
        <f>IF(F34+SUM(E$17:E34)=D$10,F34,D$10-SUM(E$17:E34))</f>
        <v>6678777.4609734267</v>
      </c>
      <c r="E35" s="377">
        <f t="shared" si="29"/>
        <v>441815.66666666669</v>
      </c>
      <c r="F35" s="54">
        <f t="shared" si="30"/>
        <v>6236961.7943067597</v>
      </c>
      <c r="G35" s="378">
        <f t="shared" si="31"/>
        <v>1180918.3767180415</v>
      </c>
      <c r="H35" s="359">
        <f t="shared" si="32"/>
        <v>1180918.3767180415</v>
      </c>
      <c r="I35" s="51">
        <f t="shared" si="6"/>
        <v>0</v>
      </c>
      <c r="J35" s="51"/>
      <c r="K35" s="112"/>
      <c r="L35" s="53">
        <f t="shared" si="33"/>
        <v>0</v>
      </c>
      <c r="M35" s="112"/>
      <c r="N35" s="53">
        <f t="shared" si="4"/>
        <v>0</v>
      </c>
      <c r="O35" s="53">
        <f t="shared" si="5"/>
        <v>0</v>
      </c>
      <c r="P35" s="1"/>
      <c r="R35" s="1"/>
      <c r="S35" s="1"/>
      <c r="T35" s="1"/>
      <c r="U35" s="1"/>
    </row>
    <row r="36" spans="2:21">
      <c r="B36" t="str">
        <f t="shared" si="0"/>
        <v/>
      </c>
      <c r="C36" s="49">
        <f>IF(D11="","-",+C35+1)</f>
        <v>2033</v>
      </c>
      <c r="D36" s="54">
        <f>IF(F35+SUM(E$17:E35)=D$10,F35,D$10-SUM(E$17:E35))</f>
        <v>6236961.7943067597</v>
      </c>
      <c r="E36" s="377">
        <f t="shared" si="29"/>
        <v>441815.66666666669</v>
      </c>
      <c r="F36" s="54">
        <f t="shared" si="30"/>
        <v>5795146.1276400927</v>
      </c>
      <c r="G36" s="378">
        <f t="shared" si="31"/>
        <v>1130352.6057432226</v>
      </c>
      <c r="H36" s="359">
        <f t="shared" si="32"/>
        <v>1130352.6057432226</v>
      </c>
      <c r="I36" s="51">
        <f t="shared" si="6"/>
        <v>0</v>
      </c>
      <c r="J36" s="51"/>
      <c r="K36" s="112"/>
      <c r="L36" s="53">
        <f t="shared" si="33"/>
        <v>0</v>
      </c>
      <c r="M36" s="112"/>
      <c r="N36" s="53">
        <f t="shared" si="4"/>
        <v>0</v>
      </c>
      <c r="O36" s="53">
        <f t="shared" si="5"/>
        <v>0</v>
      </c>
      <c r="P36" s="1"/>
      <c r="R36" s="1"/>
      <c r="S36" s="1"/>
      <c r="T36" s="1"/>
      <c r="U36" s="1"/>
    </row>
    <row r="37" spans="2:21">
      <c r="B37" t="str">
        <f t="shared" si="0"/>
        <v/>
      </c>
      <c r="C37" s="49">
        <f>IF(D11="","-",+C36+1)</f>
        <v>2034</v>
      </c>
      <c r="D37" s="54">
        <f>IF(F36+SUM(E$17:E36)=D$10,F36,D$10-SUM(E$17:E36))</f>
        <v>5795146.1276400927</v>
      </c>
      <c r="E37" s="377">
        <f t="shared" si="29"/>
        <v>441815.66666666669</v>
      </c>
      <c r="F37" s="54">
        <f t="shared" si="30"/>
        <v>5353330.4609734258</v>
      </c>
      <c r="G37" s="378">
        <f t="shared" si="31"/>
        <v>1079786.8347684036</v>
      </c>
      <c r="H37" s="359">
        <f t="shared" si="32"/>
        <v>1079786.8347684036</v>
      </c>
      <c r="I37" s="51">
        <f t="shared" si="6"/>
        <v>0</v>
      </c>
      <c r="J37" s="51"/>
      <c r="K37" s="112"/>
      <c r="L37" s="53">
        <f t="shared" si="33"/>
        <v>0</v>
      </c>
      <c r="M37" s="112"/>
      <c r="N37" s="53">
        <f t="shared" si="4"/>
        <v>0</v>
      </c>
      <c r="O37" s="53">
        <f t="shared" si="5"/>
        <v>0</v>
      </c>
      <c r="P37" s="1"/>
      <c r="R37" s="1"/>
      <c r="S37" s="1"/>
      <c r="T37" s="1"/>
      <c r="U37" s="1"/>
    </row>
    <row r="38" spans="2:21">
      <c r="B38" t="str">
        <f t="shared" si="0"/>
        <v/>
      </c>
      <c r="C38" s="49">
        <f>IF(D11="","-",+C37+1)</f>
        <v>2035</v>
      </c>
      <c r="D38" s="54">
        <f>IF(F37+SUM(E$17:E37)=D$10,F37,D$10-SUM(E$17:E37))</f>
        <v>5353330.4609734258</v>
      </c>
      <c r="E38" s="377">
        <f t="shared" si="29"/>
        <v>441815.66666666669</v>
      </c>
      <c r="F38" s="54">
        <f t="shared" si="30"/>
        <v>4911514.7943067588</v>
      </c>
      <c r="G38" s="378">
        <f t="shared" si="31"/>
        <v>1029221.0637935847</v>
      </c>
      <c r="H38" s="359">
        <f t="shared" si="32"/>
        <v>1029221.0637935847</v>
      </c>
      <c r="I38" s="51">
        <f t="shared" si="6"/>
        <v>0</v>
      </c>
      <c r="J38" s="51"/>
      <c r="K38" s="112"/>
      <c r="L38" s="53">
        <f t="shared" si="33"/>
        <v>0</v>
      </c>
      <c r="M38" s="112"/>
      <c r="N38" s="53">
        <f t="shared" si="4"/>
        <v>0</v>
      </c>
      <c r="O38" s="53">
        <f t="shared" si="5"/>
        <v>0</v>
      </c>
      <c r="P38" s="1"/>
      <c r="R38" s="1"/>
      <c r="S38" s="1"/>
      <c r="T38" s="1"/>
      <c r="U38" s="1"/>
    </row>
    <row r="39" spans="2:21">
      <c r="B39" t="str">
        <f t="shared" si="0"/>
        <v/>
      </c>
      <c r="C39" s="49">
        <f>IF(D11="","-",+C38+1)</f>
        <v>2036</v>
      </c>
      <c r="D39" s="54">
        <f>IF(F38+SUM(E$17:E38)=D$10,F38,D$10-SUM(E$17:E38))</f>
        <v>4911514.7943067588</v>
      </c>
      <c r="E39" s="377">
        <f t="shared" si="29"/>
        <v>441815.66666666669</v>
      </c>
      <c r="F39" s="54">
        <f t="shared" si="30"/>
        <v>4469699.1276400918</v>
      </c>
      <c r="G39" s="378">
        <f t="shared" si="31"/>
        <v>978655.29281876562</v>
      </c>
      <c r="H39" s="359">
        <f t="shared" si="32"/>
        <v>978655.29281876562</v>
      </c>
      <c r="I39" s="51">
        <f t="shared" si="6"/>
        <v>0</v>
      </c>
      <c r="J39" s="51"/>
      <c r="K39" s="112"/>
      <c r="L39" s="53">
        <f t="shared" si="33"/>
        <v>0</v>
      </c>
      <c r="M39" s="112"/>
      <c r="N39" s="53">
        <f t="shared" si="4"/>
        <v>0</v>
      </c>
      <c r="O39" s="53">
        <f t="shared" si="5"/>
        <v>0</v>
      </c>
      <c r="P39" s="1"/>
      <c r="R39" s="1"/>
      <c r="S39" s="1"/>
      <c r="T39" s="1"/>
      <c r="U39" s="1"/>
    </row>
    <row r="40" spans="2:21">
      <c r="B40" t="str">
        <f t="shared" si="0"/>
        <v/>
      </c>
      <c r="C40" s="49">
        <f>IF(D11="","-",+C39+1)</f>
        <v>2037</v>
      </c>
      <c r="D40" s="54">
        <f>IF(F39+SUM(E$17:E39)=D$10,F39,D$10-SUM(E$17:E39))</f>
        <v>4469699.1276400918</v>
      </c>
      <c r="E40" s="377">
        <f t="shared" si="29"/>
        <v>441815.66666666669</v>
      </c>
      <c r="F40" s="54">
        <f t="shared" si="30"/>
        <v>4027883.4609734253</v>
      </c>
      <c r="G40" s="378">
        <f t="shared" si="31"/>
        <v>928089.52184394677</v>
      </c>
      <c r="H40" s="359">
        <f t="shared" si="32"/>
        <v>928089.52184394677</v>
      </c>
      <c r="I40" s="51">
        <f t="shared" si="6"/>
        <v>0</v>
      </c>
      <c r="J40" s="51"/>
      <c r="K40" s="112"/>
      <c r="L40" s="53">
        <f t="shared" si="33"/>
        <v>0</v>
      </c>
      <c r="M40" s="112"/>
      <c r="N40" s="53">
        <f t="shared" si="4"/>
        <v>0</v>
      </c>
      <c r="O40" s="53">
        <f t="shared" si="5"/>
        <v>0</v>
      </c>
      <c r="P40" s="1"/>
      <c r="R40" s="1"/>
      <c r="S40" s="1"/>
      <c r="T40" s="1"/>
      <c r="U40" s="1"/>
    </row>
    <row r="41" spans="2:21">
      <c r="B41" t="str">
        <f t="shared" si="0"/>
        <v/>
      </c>
      <c r="C41" s="49">
        <f>IF(D12="","-",+C40+1)</f>
        <v>2038</v>
      </c>
      <c r="D41" s="54">
        <f>IF(F40+SUM(E$17:E40)=D$10,F40,D$10-SUM(E$17:E40))</f>
        <v>4027883.4609734253</v>
      </c>
      <c r="E41" s="377">
        <f t="shared" si="29"/>
        <v>441815.66666666669</v>
      </c>
      <c r="F41" s="54">
        <f t="shared" si="30"/>
        <v>3586067.7943067588</v>
      </c>
      <c r="G41" s="378">
        <f t="shared" si="31"/>
        <v>877523.75086912781</v>
      </c>
      <c r="H41" s="359">
        <f t="shared" si="32"/>
        <v>877523.75086912781</v>
      </c>
      <c r="I41" s="51">
        <f t="shared" si="6"/>
        <v>0</v>
      </c>
      <c r="J41" s="51"/>
      <c r="K41" s="112"/>
      <c r="L41" s="53">
        <f t="shared" si="33"/>
        <v>0</v>
      </c>
      <c r="M41" s="112"/>
      <c r="N41" s="53">
        <f t="shared" si="4"/>
        <v>0</v>
      </c>
      <c r="O41" s="53">
        <f t="shared" si="5"/>
        <v>0</v>
      </c>
      <c r="P41" s="1"/>
      <c r="R41" s="1"/>
      <c r="S41" s="1"/>
      <c r="T41" s="1"/>
      <c r="U41" s="1"/>
    </row>
    <row r="42" spans="2:21">
      <c r="B42" t="str">
        <f t="shared" si="0"/>
        <v/>
      </c>
      <c r="C42" s="49">
        <f>IF(D13="","-",+C41+1)</f>
        <v>2039</v>
      </c>
      <c r="D42" s="54">
        <f>IF(F41+SUM(E$17:E41)=D$10,F41,D$10-SUM(E$17:E41))</f>
        <v>3586067.7943067588</v>
      </c>
      <c r="E42" s="377">
        <f t="shared" si="29"/>
        <v>441815.66666666669</v>
      </c>
      <c r="F42" s="54">
        <f t="shared" si="30"/>
        <v>3144252.1276400923</v>
      </c>
      <c r="G42" s="378">
        <f t="shared" si="31"/>
        <v>826957.97989430884</v>
      </c>
      <c r="H42" s="359">
        <f t="shared" si="32"/>
        <v>826957.97989430884</v>
      </c>
      <c r="I42" s="51">
        <f t="shared" si="6"/>
        <v>0</v>
      </c>
      <c r="J42" s="51"/>
      <c r="K42" s="112"/>
      <c r="L42" s="53">
        <f t="shared" si="33"/>
        <v>0</v>
      </c>
      <c r="M42" s="112"/>
      <c r="N42" s="53">
        <f t="shared" si="4"/>
        <v>0</v>
      </c>
      <c r="O42" s="53">
        <f t="shared" si="5"/>
        <v>0</v>
      </c>
      <c r="P42" s="1"/>
      <c r="R42" s="1"/>
      <c r="S42" s="1"/>
      <c r="T42" s="1"/>
      <c r="U42" s="1"/>
    </row>
    <row r="43" spans="2:21">
      <c r="B43" t="str">
        <f t="shared" si="0"/>
        <v/>
      </c>
      <c r="C43" s="49">
        <f>IF(D11="","-",+C42+1)</f>
        <v>2040</v>
      </c>
      <c r="D43" s="54">
        <f>IF(F42+SUM(E$17:E42)=D$10,F42,D$10-SUM(E$17:E42))</f>
        <v>3144252.1276400923</v>
      </c>
      <c r="E43" s="377">
        <f t="shared" si="29"/>
        <v>441815.66666666669</v>
      </c>
      <c r="F43" s="54">
        <f t="shared" si="30"/>
        <v>2702436.4609734258</v>
      </c>
      <c r="G43" s="378">
        <f t="shared" si="31"/>
        <v>776392.20891948999</v>
      </c>
      <c r="H43" s="359">
        <f t="shared" si="32"/>
        <v>776392.20891948999</v>
      </c>
      <c r="I43" s="51">
        <f t="shared" si="6"/>
        <v>0</v>
      </c>
      <c r="J43" s="51"/>
      <c r="K43" s="112"/>
      <c r="L43" s="53">
        <f t="shared" si="33"/>
        <v>0</v>
      </c>
      <c r="M43" s="112"/>
      <c r="N43" s="53">
        <f t="shared" si="4"/>
        <v>0</v>
      </c>
      <c r="O43" s="53">
        <f t="shared" si="5"/>
        <v>0</v>
      </c>
      <c r="P43" s="1"/>
      <c r="R43" s="1"/>
      <c r="S43" s="1"/>
      <c r="T43" s="1"/>
      <c r="U43" s="1"/>
    </row>
    <row r="44" spans="2:21">
      <c r="B44" t="str">
        <f t="shared" si="0"/>
        <v/>
      </c>
      <c r="C44" s="49">
        <f>IF(D11="","-",+C43+1)</f>
        <v>2041</v>
      </c>
      <c r="D44" s="54">
        <f>IF(F43+SUM(E$17:E43)=D$10,F43,D$10-SUM(E$17:E43))</f>
        <v>2702436.4609734258</v>
      </c>
      <c r="E44" s="377">
        <f t="shared" si="29"/>
        <v>441815.66666666669</v>
      </c>
      <c r="F44" s="54">
        <f t="shared" si="30"/>
        <v>2260620.7943067593</v>
      </c>
      <c r="G44" s="378">
        <f t="shared" si="31"/>
        <v>725826.43794467114</v>
      </c>
      <c r="H44" s="359">
        <f t="shared" si="32"/>
        <v>725826.43794467114</v>
      </c>
      <c r="I44" s="51">
        <f t="shared" si="6"/>
        <v>0</v>
      </c>
      <c r="J44" s="51"/>
      <c r="K44" s="112"/>
      <c r="L44" s="53">
        <f t="shared" si="33"/>
        <v>0</v>
      </c>
      <c r="M44" s="112"/>
      <c r="N44" s="53">
        <f t="shared" si="4"/>
        <v>0</v>
      </c>
      <c r="O44" s="53">
        <f t="shared" si="5"/>
        <v>0</v>
      </c>
      <c r="P44" s="1"/>
      <c r="R44" s="1"/>
      <c r="S44" s="1"/>
      <c r="T44" s="1"/>
      <c r="U44" s="1"/>
    </row>
    <row r="45" spans="2:21">
      <c r="B45" t="str">
        <f t="shared" si="0"/>
        <v/>
      </c>
      <c r="C45" s="49">
        <f>IF(D11="","-",+C44+1)</f>
        <v>2042</v>
      </c>
      <c r="D45" s="54">
        <f>IF(F44+SUM(E$17:E44)=D$10,F44,D$10-SUM(E$17:E44))</f>
        <v>2260620.7943067593</v>
      </c>
      <c r="E45" s="377">
        <f t="shared" si="29"/>
        <v>441815.66666666669</v>
      </c>
      <c r="F45" s="54">
        <f t="shared" si="30"/>
        <v>1818805.1276400925</v>
      </c>
      <c r="G45" s="378">
        <f t="shared" si="31"/>
        <v>675260.66696985206</v>
      </c>
      <c r="H45" s="359">
        <f t="shared" si="32"/>
        <v>675260.66696985206</v>
      </c>
      <c r="I45" s="51">
        <f t="shared" si="6"/>
        <v>0</v>
      </c>
      <c r="J45" s="51"/>
      <c r="K45" s="112"/>
      <c r="L45" s="53">
        <f t="shared" si="33"/>
        <v>0</v>
      </c>
      <c r="M45" s="112"/>
      <c r="N45" s="53">
        <f t="shared" si="4"/>
        <v>0</v>
      </c>
      <c r="O45" s="53">
        <f t="shared" si="5"/>
        <v>0</v>
      </c>
      <c r="P45" s="1"/>
      <c r="R45" s="1"/>
      <c r="S45" s="1"/>
      <c r="T45" s="1"/>
      <c r="U45" s="1"/>
    </row>
    <row r="46" spans="2:21">
      <c r="B46" t="str">
        <f t="shared" si="0"/>
        <v/>
      </c>
      <c r="C46" s="49">
        <f>IF(D11="","-",+C45+1)</f>
        <v>2043</v>
      </c>
      <c r="D46" s="54">
        <f>IF(F45+SUM(E$17:E45)=D$10,F45,D$10-SUM(E$17:E45))</f>
        <v>1818805.1276400925</v>
      </c>
      <c r="E46" s="377">
        <f t="shared" si="29"/>
        <v>441815.66666666669</v>
      </c>
      <c r="F46" s="54">
        <f t="shared" si="30"/>
        <v>1376989.4609734258</v>
      </c>
      <c r="G46" s="378">
        <f t="shared" si="31"/>
        <v>624694.89599503321</v>
      </c>
      <c r="H46" s="359">
        <f t="shared" si="32"/>
        <v>624694.89599503321</v>
      </c>
      <c r="I46" s="51">
        <f t="shared" si="6"/>
        <v>0</v>
      </c>
      <c r="J46" s="51"/>
      <c r="K46" s="112"/>
      <c r="L46" s="53">
        <f t="shared" si="33"/>
        <v>0</v>
      </c>
      <c r="M46" s="112"/>
      <c r="N46" s="53">
        <f t="shared" si="4"/>
        <v>0</v>
      </c>
      <c r="O46" s="53">
        <f t="shared" si="5"/>
        <v>0</v>
      </c>
      <c r="P46" s="1"/>
      <c r="R46" s="1"/>
      <c r="S46" s="1"/>
      <c r="T46" s="1"/>
      <c r="U46" s="1"/>
    </row>
    <row r="47" spans="2:21">
      <c r="B47" t="str">
        <f t="shared" si="0"/>
        <v/>
      </c>
      <c r="C47" s="49">
        <f>IF(D11="","-",+C46+1)</f>
        <v>2044</v>
      </c>
      <c r="D47" s="54">
        <f>IF(F46+SUM(E$17:E46)=D$10,F46,D$10-SUM(E$17:E46))</f>
        <v>1376989.4609734258</v>
      </c>
      <c r="E47" s="377">
        <f t="shared" si="29"/>
        <v>441815.66666666669</v>
      </c>
      <c r="F47" s="54">
        <f t="shared" si="30"/>
        <v>935173.79430675902</v>
      </c>
      <c r="G47" s="378">
        <f t="shared" si="31"/>
        <v>574129.12502021412</v>
      </c>
      <c r="H47" s="359">
        <f t="shared" si="32"/>
        <v>574129.12502021412</v>
      </c>
      <c r="I47" s="51">
        <f t="shared" si="6"/>
        <v>0</v>
      </c>
      <c r="J47" s="51"/>
      <c r="K47" s="112"/>
      <c r="L47" s="53">
        <f t="shared" si="33"/>
        <v>0</v>
      </c>
      <c r="M47" s="112"/>
      <c r="N47" s="53">
        <f t="shared" si="4"/>
        <v>0</v>
      </c>
      <c r="O47" s="53">
        <f t="shared" si="5"/>
        <v>0</v>
      </c>
      <c r="P47" s="1"/>
      <c r="R47" s="1"/>
      <c r="S47" s="1"/>
      <c r="T47" s="1"/>
      <c r="U47" s="1"/>
    </row>
    <row r="48" spans="2:21">
      <c r="B48" t="str">
        <f t="shared" si="0"/>
        <v/>
      </c>
      <c r="C48" s="49">
        <f>IF(D11="","-",+C47+1)</f>
        <v>2045</v>
      </c>
      <c r="D48" s="54">
        <f>IF(F47+SUM(E$17:E47)=D$10,F47,D$10-SUM(E$17:E47))</f>
        <v>935173.79430675902</v>
      </c>
      <c r="E48" s="377">
        <f t="shared" si="29"/>
        <v>441815.66666666669</v>
      </c>
      <c r="F48" s="54">
        <f t="shared" si="30"/>
        <v>493358.12764009234</v>
      </c>
      <c r="G48" s="378">
        <f t="shared" si="31"/>
        <v>523563.35404539522</v>
      </c>
      <c r="H48" s="359">
        <f t="shared" si="32"/>
        <v>523563.35404539522</v>
      </c>
      <c r="I48" s="51">
        <f t="shared" si="6"/>
        <v>0</v>
      </c>
      <c r="J48" s="51"/>
      <c r="K48" s="112"/>
      <c r="L48" s="53">
        <f t="shared" si="33"/>
        <v>0</v>
      </c>
      <c r="M48" s="112"/>
      <c r="N48" s="53">
        <f t="shared" si="4"/>
        <v>0</v>
      </c>
      <c r="O48" s="53">
        <f t="shared" si="5"/>
        <v>0</v>
      </c>
      <c r="P48" s="1"/>
      <c r="R48" s="1"/>
      <c r="S48" s="1"/>
      <c r="T48" s="1"/>
      <c r="U48" s="1"/>
    </row>
    <row r="49" spans="2:21">
      <c r="B49" t="str">
        <f t="shared" si="0"/>
        <v/>
      </c>
      <c r="C49" s="49">
        <f>IF(D11="","-",+C48+1)</f>
        <v>2046</v>
      </c>
      <c r="D49" s="54">
        <f>IF(F48+SUM(E$17:E48)=D$10,F48,D$10-SUM(E$17:E48))</f>
        <v>493358.12764009234</v>
      </c>
      <c r="E49" s="377">
        <f t="shared" si="29"/>
        <v>441815.66666666669</v>
      </c>
      <c r="F49" s="54">
        <f t="shared" si="30"/>
        <v>51542.460973425652</v>
      </c>
      <c r="G49" s="378">
        <f t="shared" si="31"/>
        <v>472997.58307057631</v>
      </c>
      <c r="H49" s="359">
        <f t="shared" si="32"/>
        <v>472997.58307057631</v>
      </c>
      <c r="I49" s="51">
        <f t="shared" si="6"/>
        <v>0</v>
      </c>
      <c r="J49" s="51"/>
      <c r="K49" s="112"/>
      <c r="L49" s="53">
        <f t="shared" si="33"/>
        <v>0</v>
      </c>
      <c r="M49" s="112"/>
      <c r="N49" s="53">
        <f t="shared" si="4"/>
        <v>0</v>
      </c>
      <c r="O49" s="53">
        <f t="shared" si="5"/>
        <v>0</v>
      </c>
      <c r="P49" s="1"/>
      <c r="R49" s="1"/>
      <c r="S49" s="1"/>
      <c r="T49" s="1"/>
      <c r="U49" s="1"/>
    </row>
    <row r="50" spans="2:21">
      <c r="B50" t="str">
        <f t="shared" si="0"/>
        <v/>
      </c>
      <c r="C50" s="49">
        <f>IF(D11="","-",+C49+1)</f>
        <v>2047</v>
      </c>
      <c r="D50" s="54">
        <f>IF(F49+SUM(E$17:E49)=D$10,F49,D$10-SUM(E$17:E49))</f>
        <v>51542.460973425652</v>
      </c>
      <c r="E50" s="377">
        <f t="shared" si="29"/>
        <v>51542.460973425652</v>
      </c>
      <c r="F50" s="54">
        <f t="shared" si="30"/>
        <v>0</v>
      </c>
      <c r="G50" s="378">
        <f t="shared" si="31"/>
        <v>54491.976431675721</v>
      </c>
      <c r="H50" s="359">
        <f t="shared" si="32"/>
        <v>54491.976431675721</v>
      </c>
      <c r="I50" s="51">
        <f t="shared" si="6"/>
        <v>0</v>
      </c>
      <c r="J50" s="51"/>
      <c r="K50" s="112"/>
      <c r="L50" s="53">
        <f t="shared" si="33"/>
        <v>0</v>
      </c>
      <c r="M50" s="112"/>
      <c r="N50" s="53">
        <f t="shared" si="4"/>
        <v>0</v>
      </c>
      <c r="O50" s="53">
        <f t="shared" si="5"/>
        <v>0</v>
      </c>
      <c r="P50" s="1"/>
      <c r="R50" s="1"/>
      <c r="S50" s="1"/>
      <c r="T50" s="1"/>
      <c r="U50" s="1"/>
    </row>
    <row r="51" spans="2:21">
      <c r="B51" t="str">
        <f t="shared" si="0"/>
        <v/>
      </c>
      <c r="C51" s="49">
        <f>IF(D11="","-",+C50+1)</f>
        <v>2048</v>
      </c>
      <c r="D51" s="54">
        <f>IF(F50+SUM(E$17:E50)=D$10,F50,D$10-SUM(E$17:E50))</f>
        <v>0</v>
      </c>
      <c r="E51" s="377">
        <f t="shared" si="29"/>
        <v>0</v>
      </c>
      <c r="F51" s="54">
        <f t="shared" si="30"/>
        <v>0</v>
      </c>
      <c r="G51" s="378">
        <f t="shared" si="31"/>
        <v>0</v>
      </c>
      <c r="H51" s="359">
        <f t="shared" si="32"/>
        <v>0</v>
      </c>
      <c r="I51" s="51">
        <f t="shared" si="6"/>
        <v>0</v>
      </c>
      <c r="J51" s="51"/>
      <c r="K51" s="112"/>
      <c r="L51" s="53">
        <f t="shared" si="33"/>
        <v>0</v>
      </c>
      <c r="M51" s="112"/>
      <c r="N51" s="53">
        <f t="shared" si="4"/>
        <v>0</v>
      </c>
      <c r="O51" s="53">
        <f t="shared" si="5"/>
        <v>0</v>
      </c>
      <c r="P51" s="1"/>
      <c r="R51" s="1"/>
      <c r="S51" s="1"/>
      <c r="T51" s="1"/>
      <c r="U51" s="1"/>
    </row>
    <row r="52" spans="2:21">
      <c r="B52" t="str">
        <f t="shared" si="0"/>
        <v/>
      </c>
      <c r="C52" s="49">
        <f>IF(D11="","-",+C51+1)</f>
        <v>2049</v>
      </c>
      <c r="D52" s="54">
        <f>IF(F51+SUM(E$17:E51)=D$10,F51,D$10-SUM(E$17:E51))</f>
        <v>0</v>
      </c>
      <c r="E52" s="377">
        <f t="shared" si="29"/>
        <v>0</v>
      </c>
      <c r="F52" s="54">
        <f t="shared" si="30"/>
        <v>0</v>
      </c>
      <c r="G52" s="378">
        <f t="shared" si="31"/>
        <v>0</v>
      </c>
      <c r="H52" s="359">
        <f t="shared" si="32"/>
        <v>0</v>
      </c>
      <c r="I52" s="51">
        <f t="shared" si="6"/>
        <v>0</v>
      </c>
      <c r="J52" s="51"/>
      <c r="K52" s="112"/>
      <c r="L52" s="53">
        <f t="shared" si="33"/>
        <v>0</v>
      </c>
      <c r="M52" s="112"/>
      <c r="N52" s="53">
        <f t="shared" si="4"/>
        <v>0</v>
      </c>
      <c r="O52" s="53">
        <f t="shared" si="5"/>
        <v>0</v>
      </c>
      <c r="P52" s="1"/>
      <c r="R52" s="1"/>
      <c r="S52" s="1"/>
      <c r="T52" s="1"/>
      <c r="U52" s="1"/>
    </row>
    <row r="53" spans="2:21">
      <c r="B53" t="str">
        <f t="shared" si="0"/>
        <v/>
      </c>
      <c r="C53" s="49">
        <f>IF(D11="","-",+C52+1)</f>
        <v>2050</v>
      </c>
      <c r="D53" s="54">
        <f>IF(F52+SUM(E$17:E52)=D$10,F52,D$10-SUM(E$17:E52))</f>
        <v>0</v>
      </c>
      <c r="E53" s="377">
        <f t="shared" si="29"/>
        <v>0</v>
      </c>
      <c r="F53" s="54">
        <f t="shared" si="30"/>
        <v>0</v>
      </c>
      <c r="G53" s="378">
        <f t="shared" si="31"/>
        <v>0</v>
      </c>
      <c r="H53" s="359">
        <f t="shared" si="32"/>
        <v>0</v>
      </c>
      <c r="I53" s="51">
        <f t="shared" si="6"/>
        <v>0</v>
      </c>
      <c r="J53" s="51"/>
      <c r="K53" s="112"/>
      <c r="L53" s="53">
        <f t="shared" si="33"/>
        <v>0</v>
      </c>
      <c r="M53" s="112"/>
      <c r="N53" s="53">
        <f t="shared" si="4"/>
        <v>0</v>
      </c>
      <c r="O53" s="53">
        <f t="shared" si="5"/>
        <v>0</v>
      </c>
      <c r="P53" s="1"/>
      <c r="R53" s="1"/>
      <c r="S53" s="1"/>
      <c r="T53" s="1"/>
      <c r="U53" s="1"/>
    </row>
    <row r="54" spans="2:21">
      <c r="B54" t="str">
        <f t="shared" si="0"/>
        <v/>
      </c>
      <c r="C54" s="49">
        <f>IF(D11="","-",+C53+1)</f>
        <v>2051</v>
      </c>
      <c r="D54" s="54">
        <f>IF(F53+SUM(E$17:E53)=D$10,F53,D$10-SUM(E$17:E53))</f>
        <v>0</v>
      </c>
      <c r="E54" s="377">
        <f t="shared" si="29"/>
        <v>0</v>
      </c>
      <c r="F54" s="54">
        <f t="shared" si="30"/>
        <v>0</v>
      </c>
      <c r="G54" s="378">
        <f t="shared" si="31"/>
        <v>0</v>
      </c>
      <c r="H54" s="359">
        <f t="shared" si="32"/>
        <v>0</v>
      </c>
      <c r="I54" s="51">
        <f t="shared" si="6"/>
        <v>0</v>
      </c>
      <c r="J54" s="51"/>
      <c r="K54" s="112"/>
      <c r="L54" s="53">
        <f t="shared" si="33"/>
        <v>0</v>
      </c>
      <c r="M54" s="112"/>
      <c r="N54" s="53">
        <f t="shared" si="4"/>
        <v>0</v>
      </c>
      <c r="O54" s="53">
        <f t="shared" si="5"/>
        <v>0</v>
      </c>
      <c r="P54" s="1"/>
      <c r="R54" s="1"/>
      <c r="S54" s="1"/>
      <c r="T54" s="1"/>
      <c r="U54" s="1"/>
    </row>
    <row r="55" spans="2:21">
      <c r="B55" t="str">
        <f t="shared" si="0"/>
        <v/>
      </c>
      <c r="C55" s="49">
        <f>IF(D11="","-",+C54+1)</f>
        <v>2052</v>
      </c>
      <c r="D55" s="54">
        <f>IF(F54+SUM(E$17:E54)=D$10,F54,D$10-SUM(E$17:E54))</f>
        <v>0</v>
      </c>
      <c r="E55" s="377">
        <f t="shared" si="29"/>
        <v>0</v>
      </c>
      <c r="F55" s="54">
        <f t="shared" si="30"/>
        <v>0</v>
      </c>
      <c r="G55" s="378">
        <f t="shared" si="31"/>
        <v>0</v>
      </c>
      <c r="H55" s="359">
        <f t="shared" si="32"/>
        <v>0</v>
      </c>
      <c r="I55" s="51">
        <f t="shared" si="6"/>
        <v>0</v>
      </c>
      <c r="J55" s="51"/>
      <c r="K55" s="112"/>
      <c r="L55" s="53">
        <f t="shared" si="33"/>
        <v>0</v>
      </c>
      <c r="M55" s="112"/>
      <c r="N55" s="53">
        <f t="shared" si="4"/>
        <v>0</v>
      </c>
      <c r="O55" s="53">
        <f t="shared" si="5"/>
        <v>0</v>
      </c>
      <c r="P55" s="1"/>
      <c r="R55" s="1"/>
      <c r="S55" s="1"/>
      <c r="T55" s="1"/>
      <c r="U55" s="1"/>
    </row>
    <row r="56" spans="2:21">
      <c r="B56" t="str">
        <f t="shared" si="0"/>
        <v/>
      </c>
      <c r="C56" s="49">
        <f>IF(D11="","-",+C55+1)</f>
        <v>2053</v>
      </c>
      <c r="D56" s="54">
        <f>IF(F55+SUM(E$17:E55)=D$10,F55,D$10-SUM(E$17:E55))</f>
        <v>0</v>
      </c>
      <c r="E56" s="377">
        <f t="shared" si="29"/>
        <v>0</v>
      </c>
      <c r="F56" s="54">
        <f t="shared" si="30"/>
        <v>0</v>
      </c>
      <c r="G56" s="378">
        <f t="shared" si="31"/>
        <v>0</v>
      </c>
      <c r="H56" s="359">
        <f t="shared" si="32"/>
        <v>0</v>
      </c>
      <c r="I56" s="51">
        <f t="shared" si="6"/>
        <v>0</v>
      </c>
      <c r="J56" s="51"/>
      <c r="K56" s="112"/>
      <c r="L56" s="53">
        <f t="shared" si="33"/>
        <v>0</v>
      </c>
      <c r="M56" s="112"/>
      <c r="N56" s="53">
        <f t="shared" si="4"/>
        <v>0</v>
      </c>
      <c r="O56" s="53">
        <f t="shared" si="5"/>
        <v>0</v>
      </c>
      <c r="P56" s="1"/>
      <c r="R56" s="1"/>
      <c r="S56" s="1"/>
      <c r="T56" s="1"/>
      <c r="U56" s="1"/>
    </row>
    <row r="57" spans="2:21">
      <c r="B57" t="str">
        <f t="shared" si="0"/>
        <v/>
      </c>
      <c r="C57" s="49">
        <f>IF(D11="","-",+C56+1)</f>
        <v>2054</v>
      </c>
      <c r="D57" s="54">
        <f>IF(F56+SUM(E$17:E56)=D$10,F56,D$10-SUM(E$17:E56))</f>
        <v>0</v>
      </c>
      <c r="E57" s="377">
        <f t="shared" si="29"/>
        <v>0</v>
      </c>
      <c r="F57" s="54">
        <f t="shared" si="30"/>
        <v>0</v>
      </c>
      <c r="G57" s="378">
        <f t="shared" si="31"/>
        <v>0</v>
      </c>
      <c r="H57" s="359">
        <f t="shared" si="32"/>
        <v>0</v>
      </c>
      <c r="I57" s="51">
        <f t="shared" si="6"/>
        <v>0</v>
      </c>
      <c r="J57" s="51"/>
      <c r="K57" s="112"/>
      <c r="L57" s="53">
        <f t="shared" si="33"/>
        <v>0</v>
      </c>
      <c r="M57" s="112"/>
      <c r="N57" s="53">
        <f t="shared" si="4"/>
        <v>0</v>
      </c>
      <c r="O57" s="53">
        <f t="shared" si="5"/>
        <v>0</v>
      </c>
      <c r="P57" s="1"/>
      <c r="R57" s="1"/>
      <c r="S57" s="1"/>
      <c r="T57" s="1"/>
      <c r="U57" s="1"/>
    </row>
    <row r="58" spans="2:21">
      <c r="B58" t="str">
        <f t="shared" si="0"/>
        <v/>
      </c>
      <c r="C58" s="49">
        <f>IF(D11="","-",+C57+1)</f>
        <v>2055</v>
      </c>
      <c r="D58" s="54">
        <f>IF(F57+SUM(E$17:E57)=D$10,F57,D$10-SUM(E$17:E57))</f>
        <v>0</v>
      </c>
      <c r="E58" s="377">
        <f t="shared" si="29"/>
        <v>0</v>
      </c>
      <c r="F58" s="54">
        <f t="shared" si="30"/>
        <v>0</v>
      </c>
      <c r="G58" s="378">
        <f t="shared" si="31"/>
        <v>0</v>
      </c>
      <c r="H58" s="359">
        <f t="shared" si="32"/>
        <v>0</v>
      </c>
      <c r="I58" s="51">
        <f t="shared" si="6"/>
        <v>0</v>
      </c>
      <c r="J58" s="51"/>
      <c r="K58" s="112"/>
      <c r="L58" s="53">
        <f t="shared" si="33"/>
        <v>0</v>
      </c>
      <c r="M58" s="112"/>
      <c r="N58" s="53">
        <f t="shared" si="4"/>
        <v>0</v>
      </c>
      <c r="O58" s="53">
        <f t="shared" si="5"/>
        <v>0</v>
      </c>
      <c r="P58" s="1"/>
      <c r="R58" s="1"/>
      <c r="S58" s="1"/>
      <c r="T58" s="1"/>
      <c r="U58" s="1"/>
    </row>
    <row r="59" spans="2:21">
      <c r="B59" t="str">
        <f t="shared" si="0"/>
        <v/>
      </c>
      <c r="C59" s="49">
        <f>IF(D11="","-",+C58+1)</f>
        <v>2056</v>
      </c>
      <c r="D59" s="54">
        <f>IF(F58+SUM(E$17:E58)=D$10,F58,D$10-SUM(E$17:E58))</f>
        <v>0</v>
      </c>
      <c r="E59" s="377">
        <f t="shared" si="29"/>
        <v>0</v>
      </c>
      <c r="F59" s="54">
        <f t="shared" si="30"/>
        <v>0</v>
      </c>
      <c r="G59" s="378">
        <f t="shared" si="31"/>
        <v>0</v>
      </c>
      <c r="H59" s="359">
        <f t="shared" si="32"/>
        <v>0</v>
      </c>
      <c r="I59" s="51">
        <f t="shared" si="6"/>
        <v>0</v>
      </c>
      <c r="J59" s="51"/>
      <c r="K59" s="112"/>
      <c r="L59" s="53">
        <f t="shared" si="33"/>
        <v>0</v>
      </c>
      <c r="M59" s="112"/>
      <c r="N59" s="53">
        <f t="shared" si="4"/>
        <v>0</v>
      </c>
      <c r="O59" s="53">
        <f t="shared" si="5"/>
        <v>0</v>
      </c>
      <c r="P59" s="1"/>
      <c r="R59" s="1"/>
      <c r="S59" s="1"/>
      <c r="T59" s="1"/>
      <c r="U59" s="1"/>
    </row>
    <row r="60" spans="2:21">
      <c r="B60" t="str">
        <f t="shared" si="0"/>
        <v/>
      </c>
      <c r="C60" s="49">
        <f>IF(D11="","-",+C59+1)</f>
        <v>2057</v>
      </c>
      <c r="D60" s="54">
        <f>IF(F59+SUM(E$17:E59)=D$10,F59,D$10-SUM(E$17:E59))</f>
        <v>0</v>
      </c>
      <c r="E60" s="377">
        <f t="shared" si="29"/>
        <v>0</v>
      </c>
      <c r="F60" s="54">
        <f t="shared" si="30"/>
        <v>0</v>
      </c>
      <c r="G60" s="378">
        <f t="shared" si="31"/>
        <v>0</v>
      </c>
      <c r="H60" s="359">
        <f t="shared" si="32"/>
        <v>0</v>
      </c>
      <c r="I60" s="51">
        <f t="shared" si="6"/>
        <v>0</v>
      </c>
      <c r="J60" s="51"/>
      <c r="K60" s="112"/>
      <c r="L60" s="53">
        <f t="shared" si="33"/>
        <v>0</v>
      </c>
      <c r="M60" s="112"/>
      <c r="N60" s="53">
        <f t="shared" si="4"/>
        <v>0</v>
      </c>
      <c r="O60" s="53">
        <f t="shared" si="5"/>
        <v>0</v>
      </c>
      <c r="P60" s="1"/>
      <c r="R60" s="1"/>
      <c r="S60" s="1"/>
      <c r="T60" s="1"/>
      <c r="U60" s="1"/>
    </row>
    <row r="61" spans="2:21">
      <c r="B61" t="str">
        <f t="shared" si="0"/>
        <v/>
      </c>
      <c r="C61" s="49">
        <f>IF(D11="","-",+C60+1)</f>
        <v>2058</v>
      </c>
      <c r="D61" s="54">
        <f>IF(F60+SUM(E$17:E60)=D$10,F60,D$10-SUM(E$17:E60))</f>
        <v>0</v>
      </c>
      <c r="E61" s="377">
        <f t="shared" si="29"/>
        <v>0</v>
      </c>
      <c r="F61" s="54">
        <f t="shared" si="30"/>
        <v>0</v>
      </c>
      <c r="G61" s="378">
        <f t="shared" si="31"/>
        <v>0</v>
      </c>
      <c r="H61" s="359">
        <f t="shared" si="32"/>
        <v>0</v>
      </c>
      <c r="I61" s="51">
        <f t="shared" si="6"/>
        <v>0</v>
      </c>
      <c r="J61" s="51"/>
      <c r="K61" s="112"/>
      <c r="L61" s="53">
        <f t="shared" si="33"/>
        <v>0</v>
      </c>
      <c r="M61" s="112"/>
      <c r="N61" s="53">
        <f t="shared" si="4"/>
        <v>0</v>
      </c>
      <c r="O61" s="53">
        <f t="shared" si="5"/>
        <v>0</v>
      </c>
      <c r="P61" s="1"/>
      <c r="R61" s="1"/>
      <c r="S61" s="1"/>
      <c r="T61" s="1"/>
      <c r="U61" s="1"/>
    </row>
    <row r="62" spans="2:21">
      <c r="B62" t="str">
        <f t="shared" si="0"/>
        <v/>
      </c>
      <c r="C62" s="49">
        <f>IF(D11="","-",+C61+1)</f>
        <v>2059</v>
      </c>
      <c r="D62" s="54">
        <f>IF(F61+SUM(E$17:E61)=D$10,F61,D$10-SUM(E$17:E61))</f>
        <v>0</v>
      </c>
      <c r="E62" s="377">
        <f t="shared" si="29"/>
        <v>0</v>
      </c>
      <c r="F62" s="54">
        <f t="shared" si="30"/>
        <v>0</v>
      </c>
      <c r="G62" s="378">
        <f t="shared" si="31"/>
        <v>0</v>
      </c>
      <c r="H62" s="359">
        <f t="shared" si="32"/>
        <v>0</v>
      </c>
      <c r="I62" s="51">
        <f t="shared" si="6"/>
        <v>0</v>
      </c>
      <c r="J62" s="51"/>
      <c r="K62" s="112"/>
      <c r="L62" s="53">
        <f t="shared" si="33"/>
        <v>0</v>
      </c>
      <c r="M62" s="112"/>
      <c r="N62" s="53">
        <f t="shared" si="4"/>
        <v>0</v>
      </c>
      <c r="O62" s="53">
        <f t="shared" si="5"/>
        <v>0</v>
      </c>
      <c r="P62" s="1"/>
      <c r="R62" s="1"/>
      <c r="S62" s="1"/>
      <c r="T62" s="1"/>
      <c r="U62" s="1"/>
    </row>
    <row r="63" spans="2:21">
      <c r="B63" t="str">
        <f t="shared" si="0"/>
        <v/>
      </c>
      <c r="C63" s="49">
        <f>IF(D11="","-",+C62+1)</f>
        <v>2060</v>
      </c>
      <c r="D63" s="54">
        <f>IF(F62+SUM(E$17:E62)=D$10,F62,D$10-SUM(E$17:E62))</f>
        <v>0</v>
      </c>
      <c r="E63" s="377">
        <f t="shared" si="29"/>
        <v>0</v>
      </c>
      <c r="F63" s="54">
        <f t="shared" si="30"/>
        <v>0</v>
      </c>
      <c r="G63" s="378">
        <f t="shared" si="31"/>
        <v>0</v>
      </c>
      <c r="H63" s="359">
        <f t="shared" si="32"/>
        <v>0</v>
      </c>
      <c r="I63" s="51">
        <f t="shared" si="6"/>
        <v>0</v>
      </c>
      <c r="J63" s="51"/>
      <c r="K63" s="112"/>
      <c r="L63" s="53">
        <f t="shared" si="33"/>
        <v>0</v>
      </c>
      <c r="M63" s="112"/>
      <c r="N63" s="53">
        <f t="shared" si="4"/>
        <v>0</v>
      </c>
      <c r="O63" s="53">
        <f t="shared" si="5"/>
        <v>0</v>
      </c>
      <c r="P63" s="1"/>
      <c r="R63" s="1"/>
      <c r="S63" s="1"/>
      <c r="T63" s="1"/>
      <c r="U63" s="1"/>
    </row>
    <row r="64" spans="2:21">
      <c r="B64" t="str">
        <f t="shared" si="0"/>
        <v/>
      </c>
      <c r="C64" s="49">
        <f>IF(D11="","-",+C63+1)</f>
        <v>2061</v>
      </c>
      <c r="D64" s="54">
        <f>IF(F63+SUM(E$17:E63)=D$10,F63,D$10-SUM(E$17:E63))</f>
        <v>0</v>
      </c>
      <c r="E64" s="377">
        <f t="shared" si="29"/>
        <v>0</v>
      </c>
      <c r="F64" s="54">
        <f t="shared" si="30"/>
        <v>0</v>
      </c>
      <c r="G64" s="378">
        <f t="shared" si="31"/>
        <v>0</v>
      </c>
      <c r="H64" s="359">
        <f t="shared" si="32"/>
        <v>0</v>
      </c>
      <c r="I64" s="51">
        <f t="shared" si="6"/>
        <v>0</v>
      </c>
      <c r="J64" s="51"/>
      <c r="K64" s="112"/>
      <c r="L64" s="53">
        <f t="shared" si="33"/>
        <v>0</v>
      </c>
      <c r="M64" s="112"/>
      <c r="N64" s="53">
        <f t="shared" si="4"/>
        <v>0</v>
      </c>
      <c r="O64" s="53">
        <f t="shared" si="5"/>
        <v>0</v>
      </c>
      <c r="P64" s="1"/>
      <c r="R64" s="1"/>
      <c r="S64" s="1"/>
      <c r="T64" s="1"/>
      <c r="U64" s="1"/>
    </row>
    <row r="65" spans="2:21">
      <c r="B65" t="str">
        <f t="shared" si="0"/>
        <v/>
      </c>
      <c r="C65" s="49">
        <f>IF(D11="","-",+C64+1)</f>
        <v>2062</v>
      </c>
      <c r="D65" s="54">
        <f>IF(F64+SUM(E$17:E64)=D$10,F64,D$10-SUM(E$17:E64))</f>
        <v>0</v>
      </c>
      <c r="E65" s="377">
        <f t="shared" si="29"/>
        <v>0</v>
      </c>
      <c r="F65" s="54">
        <f t="shared" si="30"/>
        <v>0</v>
      </c>
      <c r="G65" s="378">
        <f t="shared" si="31"/>
        <v>0</v>
      </c>
      <c r="H65" s="359">
        <f t="shared" si="32"/>
        <v>0</v>
      </c>
      <c r="I65" s="51">
        <f t="shared" si="6"/>
        <v>0</v>
      </c>
      <c r="J65" s="51"/>
      <c r="K65" s="112"/>
      <c r="L65" s="53">
        <f t="shared" si="33"/>
        <v>0</v>
      </c>
      <c r="M65" s="112"/>
      <c r="N65" s="53">
        <f t="shared" si="4"/>
        <v>0</v>
      </c>
      <c r="O65" s="53">
        <f t="shared" si="5"/>
        <v>0</v>
      </c>
      <c r="P65" s="1"/>
      <c r="R65" s="1"/>
      <c r="S65" s="1"/>
      <c r="T65" s="1"/>
      <c r="U65" s="1"/>
    </row>
    <row r="66" spans="2:21">
      <c r="B66" t="str">
        <f t="shared" si="0"/>
        <v/>
      </c>
      <c r="C66" s="49">
        <f>IF(D11="","-",+C65+1)</f>
        <v>2063</v>
      </c>
      <c r="D66" s="54">
        <f>IF(F65+SUM(E$17:E65)=D$10,F65,D$10-SUM(E$17:E65))</f>
        <v>0</v>
      </c>
      <c r="E66" s="377">
        <f t="shared" si="29"/>
        <v>0</v>
      </c>
      <c r="F66" s="54">
        <f t="shared" si="30"/>
        <v>0</v>
      </c>
      <c r="G66" s="378">
        <f t="shared" si="31"/>
        <v>0</v>
      </c>
      <c r="H66" s="359">
        <f t="shared" si="32"/>
        <v>0</v>
      </c>
      <c r="I66" s="51">
        <f t="shared" si="6"/>
        <v>0</v>
      </c>
      <c r="J66" s="51"/>
      <c r="K66" s="112"/>
      <c r="L66" s="53">
        <f t="shared" si="33"/>
        <v>0</v>
      </c>
      <c r="M66" s="112"/>
      <c r="N66" s="53">
        <f t="shared" si="4"/>
        <v>0</v>
      </c>
      <c r="O66" s="53">
        <f t="shared" si="5"/>
        <v>0</v>
      </c>
      <c r="P66" s="1"/>
      <c r="R66" s="1"/>
      <c r="S66" s="1"/>
      <c r="T66" s="1"/>
      <c r="U66" s="1"/>
    </row>
    <row r="67" spans="2:21">
      <c r="B67" t="str">
        <f t="shared" si="0"/>
        <v/>
      </c>
      <c r="C67" s="49">
        <f>IF(D11="","-",+C66+1)</f>
        <v>2064</v>
      </c>
      <c r="D67" s="54">
        <f>IF(F66+SUM(E$17:E66)=D$10,F66,D$10-SUM(E$17:E66))</f>
        <v>0</v>
      </c>
      <c r="E67" s="377">
        <f t="shared" si="29"/>
        <v>0</v>
      </c>
      <c r="F67" s="54">
        <f t="shared" si="30"/>
        <v>0</v>
      </c>
      <c r="G67" s="378">
        <f t="shared" si="31"/>
        <v>0</v>
      </c>
      <c r="H67" s="359">
        <f t="shared" si="32"/>
        <v>0</v>
      </c>
      <c r="I67" s="51">
        <f t="shared" si="6"/>
        <v>0</v>
      </c>
      <c r="J67" s="51"/>
      <c r="K67" s="112"/>
      <c r="L67" s="53">
        <f t="shared" si="33"/>
        <v>0</v>
      </c>
      <c r="M67" s="112"/>
      <c r="N67" s="53">
        <f t="shared" si="4"/>
        <v>0</v>
      </c>
      <c r="O67" s="53">
        <f t="shared" si="5"/>
        <v>0</v>
      </c>
      <c r="P67" s="1"/>
      <c r="R67" s="1"/>
      <c r="S67" s="1"/>
      <c r="T67" s="1"/>
      <c r="U67" s="1"/>
    </row>
    <row r="68" spans="2:21">
      <c r="B68" t="str">
        <f t="shared" si="0"/>
        <v/>
      </c>
      <c r="C68" s="49">
        <f>IF(D11="","-",+C67+1)</f>
        <v>2065</v>
      </c>
      <c r="D68" s="54">
        <f>IF(F67+SUM(E$17:E67)=D$10,F67,D$10-SUM(E$17:E67))</f>
        <v>0</v>
      </c>
      <c r="E68" s="377">
        <f t="shared" si="29"/>
        <v>0</v>
      </c>
      <c r="F68" s="54">
        <f t="shared" si="30"/>
        <v>0</v>
      </c>
      <c r="G68" s="378">
        <f t="shared" si="31"/>
        <v>0</v>
      </c>
      <c r="H68" s="359">
        <f t="shared" si="32"/>
        <v>0</v>
      </c>
      <c r="I68" s="51">
        <f t="shared" si="6"/>
        <v>0</v>
      </c>
      <c r="J68" s="51"/>
      <c r="K68" s="112"/>
      <c r="L68" s="53">
        <f t="shared" si="33"/>
        <v>0</v>
      </c>
      <c r="M68" s="112"/>
      <c r="N68" s="53">
        <f t="shared" si="4"/>
        <v>0</v>
      </c>
      <c r="O68" s="53">
        <f t="shared" si="5"/>
        <v>0</v>
      </c>
      <c r="P68" s="1"/>
      <c r="R68" s="1"/>
      <c r="S68" s="1"/>
      <c r="T68" s="1"/>
      <c r="U68" s="1"/>
    </row>
    <row r="69" spans="2:21">
      <c r="B69" t="str">
        <f t="shared" si="0"/>
        <v/>
      </c>
      <c r="C69" s="49">
        <f>IF(D11="","-",+C68+1)</f>
        <v>2066</v>
      </c>
      <c r="D69" s="54">
        <f>IF(F68+SUM(E$17:E68)=D$10,F68,D$10-SUM(E$17:E68))</f>
        <v>0</v>
      </c>
      <c r="E69" s="377">
        <f t="shared" si="29"/>
        <v>0</v>
      </c>
      <c r="F69" s="54">
        <f t="shared" si="30"/>
        <v>0</v>
      </c>
      <c r="G69" s="378">
        <f t="shared" si="31"/>
        <v>0</v>
      </c>
      <c r="H69" s="359">
        <f t="shared" si="32"/>
        <v>0</v>
      </c>
      <c r="I69" s="51">
        <f t="shared" si="6"/>
        <v>0</v>
      </c>
      <c r="J69" s="51"/>
      <c r="K69" s="112"/>
      <c r="L69" s="53">
        <f t="shared" si="33"/>
        <v>0</v>
      </c>
      <c r="M69" s="112"/>
      <c r="N69" s="53">
        <f t="shared" si="4"/>
        <v>0</v>
      </c>
      <c r="O69" s="53">
        <f t="shared" si="5"/>
        <v>0</v>
      </c>
      <c r="P69" s="1"/>
      <c r="R69" s="1"/>
      <c r="S69" s="1"/>
      <c r="T69" s="1"/>
      <c r="U69" s="1"/>
    </row>
    <row r="70" spans="2:21">
      <c r="B70" t="str">
        <f t="shared" si="0"/>
        <v/>
      </c>
      <c r="C70" s="49">
        <f>IF(D11="","-",+C69+1)</f>
        <v>2067</v>
      </c>
      <c r="D70" s="54">
        <f>IF(F69+SUM(E$17:E69)=D$10,F69,D$10-SUM(E$17:E69))</f>
        <v>0</v>
      </c>
      <c r="E70" s="377">
        <f t="shared" si="29"/>
        <v>0</v>
      </c>
      <c r="F70" s="54">
        <f t="shared" si="30"/>
        <v>0</v>
      </c>
      <c r="G70" s="378">
        <f t="shared" si="31"/>
        <v>0</v>
      </c>
      <c r="H70" s="359">
        <f t="shared" si="32"/>
        <v>0</v>
      </c>
      <c r="I70" s="51">
        <f t="shared" si="6"/>
        <v>0</v>
      </c>
      <c r="J70" s="51"/>
      <c r="K70" s="112"/>
      <c r="L70" s="53">
        <f t="shared" si="33"/>
        <v>0</v>
      </c>
      <c r="M70" s="112"/>
      <c r="N70" s="53">
        <f t="shared" si="4"/>
        <v>0</v>
      </c>
      <c r="O70" s="53">
        <f t="shared" si="5"/>
        <v>0</v>
      </c>
      <c r="P70" s="1"/>
      <c r="R70" s="1"/>
      <c r="S70" s="1"/>
      <c r="T70" s="1"/>
      <c r="U70" s="1"/>
    </row>
    <row r="71" spans="2:21">
      <c r="B71" t="str">
        <f t="shared" si="0"/>
        <v/>
      </c>
      <c r="C71" s="49">
        <f>IF(D11="","-",+C70+1)</f>
        <v>2068</v>
      </c>
      <c r="D71" s="54">
        <f>IF(F70+SUM(E$17:E70)=D$10,F70,D$10-SUM(E$17:E70))</f>
        <v>0</v>
      </c>
      <c r="E71" s="377">
        <f t="shared" si="29"/>
        <v>0</v>
      </c>
      <c r="F71" s="54">
        <f t="shared" si="30"/>
        <v>0</v>
      </c>
      <c r="G71" s="378">
        <f t="shared" si="31"/>
        <v>0</v>
      </c>
      <c r="H71" s="359">
        <f t="shared" si="32"/>
        <v>0</v>
      </c>
      <c r="I71" s="51">
        <f t="shared" si="6"/>
        <v>0</v>
      </c>
      <c r="J71" s="51"/>
      <c r="K71" s="112"/>
      <c r="L71" s="53">
        <f t="shared" si="33"/>
        <v>0</v>
      </c>
      <c r="M71" s="112"/>
      <c r="N71" s="53">
        <f t="shared" si="4"/>
        <v>0</v>
      </c>
      <c r="O71" s="53">
        <f t="shared" si="5"/>
        <v>0</v>
      </c>
      <c r="P71" s="1"/>
      <c r="R71" s="1"/>
      <c r="S71" s="1"/>
      <c r="T71" s="1"/>
      <c r="U71" s="1"/>
    </row>
    <row r="72" spans="2:21">
      <c r="B72" t="str">
        <f t="shared" si="0"/>
        <v/>
      </c>
      <c r="C72" s="49">
        <f>IF(D11="","-",+C71+1)</f>
        <v>2069</v>
      </c>
      <c r="D72" s="54">
        <f>IF(F71+SUM(E$17:E71)=D$10,F71,D$10-SUM(E$17:E71))</f>
        <v>0</v>
      </c>
      <c r="E72" s="377">
        <f t="shared" si="29"/>
        <v>0</v>
      </c>
      <c r="F72" s="54">
        <f t="shared" si="30"/>
        <v>0</v>
      </c>
      <c r="G72" s="378">
        <f t="shared" si="31"/>
        <v>0</v>
      </c>
      <c r="H72" s="359">
        <f t="shared" si="32"/>
        <v>0</v>
      </c>
      <c r="I72" s="51">
        <f t="shared" si="6"/>
        <v>0</v>
      </c>
      <c r="J72" s="51"/>
      <c r="K72" s="112"/>
      <c r="L72" s="53">
        <f t="shared" si="33"/>
        <v>0</v>
      </c>
      <c r="M72" s="112"/>
      <c r="N72" s="53">
        <f t="shared" si="4"/>
        <v>0</v>
      </c>
      <c r="O72" s="53">
        <f t="shared" si="5"/>
        <v>0</v>
      </c>
      <c r="P72" s="1"/>
      <c r="R72" s="1"/>
      <c r="S72" s="1"/>
      <c r="T72" s="1"/>
      <c r="U72" s="1"/>
    </row>
    <row r="73" spans="2:21" ht="13.5" thickBot="1">
      <c r="B73" t="str">
        <f t="shared" si="0"/>
        <v/>
      </c>
      <c r="C73" s="58">
        <f>IF(D11="","-",+C72+1)</f>
        <v>2070</v>
      </c>
      <c r="D73" s="59">
        <f>IF(F72+SUM(E$17:E72)=D$10,F72,D$10-SUM(E$17:E72))</f>
        <v>0</v>
      </c>
      <c r="E73" s="389">
        <f t="shared" si="29"/>
        <v>0</v>
      </c>
      <c r="F73" s="59">
        <f t="shared" si="30"/>
        <v>0</v>
      </c>
      <c r="G73" s="59">
        <f t="shared" si="31"/>
        <v>0</v>
      </c>
      <c r="H73" s="59">
        <f t="shared" si="32"/>
        <v>0</v>
      </c>
      <c r="I73" s="62">
        <f t="shared" si="6"/>
        <v>0</v>
      </c>
      <c r="J73" s="51"/>
      <c r="K73" s="113"/>
      <c r="L73" s="63">
        <f t="shared" si="33"/>
        <v>0</v>
      </c>
      <c r="M73" s="113"/>
      <c r="N73" s="63">
        <f t="shared" si="4"/>
        <v>0</v>
      </c>
      <c r="O73" s="63">
        <f t="shared" si="5"/>
        <v>0</v>
      </c>
      <c r="P73" s="1"/>
      <c r="R73" s="1"/>
      <c r="S73" s="1"/>
      <c r="T73" s="1"/>
      <c r="U73" s="1"/>
    </row>
    <row r="74" spans="2:21">
      <c r="C74" s="11" t="s">
        <v>75</v>
      </c>
      <c r="D74" s="242"/>
      <c r="E74" s="242">
        <f>SUM(E17:E73)</f>
        <v>13254469.999999994</v>
      </c>
      <c r="F74" s="242"/>
      <c r="G74" s="242">
        <f>SUM(G17:G73)</f>
        <v>38708732.438566826</v>
      </c>
      <c r="H74" s="242">
        <f>SUM(H17:H73)</f>
        <v>38708732.438566826</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12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1534878.7735417741</v>
      </c>
      <c r="N88" s="396">
        <f>IF(J93&lt;D11,0,VLOOKUP(J93,C17:O73,11))</f>
        <v>1534878.7735417741</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1347453.7627301975</v>
      </c>
      <c r="N89" s="399">
        <f>IF(J93&lt;D11,0,VLOOKUP(J93,C100:P155,7))</f>
        <v>1347453.7627301975</v>
      </c>
      <c r="O89" s="70">
        <f>+N89-M89</f>
        <v>0</v>
      </c>
      <c r="P89" s="1"/>
      <c r="Q89" s="1"/>
      <c r="R89" s="1"/>
      <c r="S89" s="1"/>
      <c r="T89" s="1"/>
      <c r="U89" s="1"/>
    </row>
    <row r="90" spans="1:21" ht="13.5" thickBot="1">
      <c r="C90" s="25" t="s">
        <v>82</v>
      </c>
      <c r="D90" s="96" t="str">
        <f>+D7</f>
        <v>Darlington-Red Rock 138 kV line</v>
      </c>
      <c r="E90" s="1"/>
      <c r="F90" s="1"/>
      <c r="G90" s="1"/>
      <c r="H90" s="1"/>
      <c r="I90" s="260"/>
      <c r="J90" s="260"/>
      <c r="K90" s="400"/>
      <c r="L90" s="109" t="s">
        <v>135</v>
      </c>
      <c r="M90" s="401">
        <f>+M89-M88</f>
        <v>-187425.01081157662</v>
      </c>
      <c r="N90" s="401">
        <f>+N89-N88</f>
        <v>-187425.01081157662</v>
      </c>
      <c r="O90" s="402">
        <f>+O89-O88</f>
        <v>0</v>
      </c>
      <c r="P90" s="1"/>
      <c r="Q90" s="1"/>
      <c r="R90" s="1"/>
      <c r="S90" s="1"/>
      <c r="T90" s="1"/>
      <c r="U90" s="1"/>
    </row>
    <row r="91" spans="1:21" ht="13.5" thickBot="1">
      <c r="C91" s="29"/>
      <c r="D91" s="444" t="str">
        <f>IF(D8="","",D8)</f>
        <v>***Sch. 11 recovery commenced in 2015 rate year***</v>
      </c>
      <c r="E91" s="11"/>
      <c r="F91" s="11"/>
      <c r="G91" s="11"/>
      <c r="H91" s="10"/>
      <c r="I91" s="260"/>
      <c r="J91" s="260"/>
      <c r="K91" s="242"/>
      <c r="L91" s="260"/>
      <c r="M91" s="260"/>
      <c r="N91" s="260"/>
      <c r="O91" s="242"/>
      <c r="P91" s="1"/>
      <c r="Q91" s="1"/>
      <c r="R91" s="1"/>
      <c r="S91" s="1"/>
      <c r="T91" s="1"/>
      <c r="U91" s="1"/>
    </row>
    <row r="92" spans="1:21" ht="13.5" thickBot="1">
      <c r="C92" s="74" t="s">
        <v>83</v>
      </c>
      <c r="D92" s="88" t="str">
        <f>+D9</f>
        <v>TP2012112</v>
      </c>
      <c r="E92" s="75" t="s">
        <v>310</v>
      </c>
      <c r="F92" s="527">
        <f>F9</f>
        <v>30746</v>
      </c>
      <c r="G92" s="75"/>
      <c r="H92" s="75"/>
      <c r="I92" s="75"/>
      <c r="J92" s="75"/>
      <c r="Q92" s="1"/>
      <c r="R92" s="1"/>
      <c r="S92" s="1"/>
      <c r="T92" s="1"/>
      <c r="U92" s="1"/>
    </row>
    <row r="93" spans="1:21">
      <c r="C93" s="34" t="s">
        <v>49</v>
      </c>
      <c r="D93" s="442">
        <v>13254470</v>
      </c>
      <c r="E93" s="1" t="s">
        <v>84</v>
      </c>
      <c r="H93" s="2"/>
      <c r="I93" s="2"/>
      <c r="J93" s="36">
        <f>+'OKT.WS.G.BPU.ATRR.True-up'!M16</f>
        <v>2025</v>
      </c>
      <c r="K93" s="33"/>
      <c r="L93" s="242" t="s">
        <v>85</v>
      </c>
      <c r="P93" s="1"/>
      <c r="Q93" s="1"/>
      <c r="R93" s="1"/>
      <c r="S93" s="1"/>
      <c r="T93" s="1"/>
      <c r="U93" s="1"/>
    </row>
    <row r="94" spans="1:21">
      <c r="C94" s="34" t="s">
        <v>52</v>
      </c>
      <c r="D94" s="85">
        <f>D11</f>
        <v>2014</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85">
        <f>D12</f>
        <v>4</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414202.1875</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C100" s="49">
        <f>IF(D94= "","-",D94)</f>
        <v>2014</v>
      </c>
      <c r="D100" s="11"/>
      <c r="E100" s="378"/>
      <c r="F100" s="54"/>
      <c r="G100" s="81"/>
      <c r="H100" s="81"/>
      <c r="I100" s="81"/>
      <c r="J100" s="53"/>
      <c r="K100" s="53"/>
      <c r="L100" s="114"/>
      <c r="M100" s="52">
        <f t="shared" ref="M100:M131" si="34">IF(L100&lt;&gt;0,+H100-L100,0)</f>
        <v>0</v>
      </c>
      <c r="N100" s="114"/>
      <c r="O100" s="52">
        <f t="shared" ref="O100:O131" si="35">IF(N100&lt;&gt;0,+I100-N100,0)</f>
        <v>0</v>
      </c>
      <c r="P100" s="52">
        <f t="shared" ref="P100:P131" si="36">+O100-M100</f>
        <v>0</v>
      </c>
      <c r="Q100" s="1"/>
      <c r="R100" s="1"/>
      <c r="S100" s="1"/>
      <c r="T100" s="1"/>
      <c r="U100" s="1"/>
    </row>
    <row r="101" spans="1:21">
      <c r="C101" s="49">
        <f>IF(D94="","-",+C100+1)</f>
        <v>2015</v>
      </c>
      <c r="D101" s="371">
        <v>12986963.014521964</v>
      </c>
      <c r="E101" s="373">
        <v>276134.79166666669</v>
      </c>
      <c r="F101" s="375">
        <v>12710828.222855298</v>
      </c>
      <c r="G101" s="375">
        <v>12848895.618688632</v>
      </c>
      <c r="H101" s="373">
        <v>1706594.9989443137</v>
      </c>
      <c r="I101" s="374">
        <v>1706594.9989443137</v>
      </c>
      <c r="J101" s="53"/>
      <c r="K101" s="53"/>
      <c r="L101" s="376">
        <f t="shared" ref="L101:L106" si="37">H101</f>
        <v>1706594.9989443137</v>
      </c>
      <c r="M101" s="53">
        <f t="shared" ref="M101:M106" si="38">IF(L101&lt;&gt;0,+H101-L101,0)</f>
        <v>0</v>
      </c>
      <c r="N101" s="376">
        <f t="shared" ref="N101:N106" si="39">I101</f>
        <v>1706594.9989443137</v>
      </c>
      <c r="O101" s="53">
        <f t="shared" si="35"/>
        <v>0</v>
      </c>
      <c r="P101" s="53">
        <f t="shared" si="36"/>
        <v>0</v>
      </c>
      <c r="Q101" s="1"/>
      <c r="R101" s="1"/>
      <c r="S101" s="1"/>
      <c r="T101" s="1"/>
      <c r="U101" s="1"/>
    </row>
    <row r="102" spans="1:21">
      <c r="B102" t="str">
        <f t="shared" ref="B102:B155" si="40">IF(D102=F101,"","IU")</f>
        <v>IU</v>
      </c>
      <c r="C102" s="49">
        <f>IF(D94="","-",+C101+1)</f>
        <v>2016</v>
      </c>
      <c r="D102" s="371">
        <v>12978335.208333334</v>
      </c>
      <c r="E102" s="373">
        <v>259891.56862745099</v>
      </c>
      <c r="F102" s="375">
        <v>12718443.639705883</v>
      </c>
      <c r="G102" s="375">
        <v>12848389.424019609</v>
      </c>
      <c r="H102" s="373">
        <v>1652264.5848598198</v>
      </c>
      <c r="I102" s="374">
        <v>1652264.5848598198</v>
      </c>
      <c r="J102" s="53">
        <v>0</v>
      </c>
      <c r="K102" s="53"/>
      <c r="L102" s="376">
        <f t="shared" si="37"/>
        <v>1652264.5848598198</v>
      </c>
      <c r="M102" s="53">
        <f t="shared" si="38"/>
        <v>0</v>
      </c>
      <c r="N102" s="376">
        <f t="shared" si="39"/>
        <v>1652264.5848598198</v>
      </c>
      <c r="O102" s="53">
        <f t="shared" si="35"/>
        <v>0</v>
      </c>
      <c r="P102" s="53">
        <f t="shared" si="36"/>
        <v>0</v>
      </c>
      <c r="Q102" s="1"/>
      <c r="R102" s="1"/>
      <c r="S102" s="1"/>
      <c r="T102" s="1"/>
      <c r="U102" s="1"/>
    </row>
    <row r="103" spans="1:21">
      <c r="B103" t="str">
        <f t="shared" si="40"/>
        <v/>
      </c>
      <c r="C103" s="49">
        <f>IF(D94="","-",+C102+1)</f>
        <v>2017</v>
      </c>
      <c r="D103" s="371">
        <v>12718443.639705883</v>
      </c>
      <c r="E103" s="373">
        <v>331361.75</v>
      </c>
      <c r="F103" s="375">
        <v>12387081.889705883</v>
      </c>
      <c r="G103" s="375">
        <v>12552762.764705883</v>
      </c>
      <c r="H103" s="373">
        <v>1804251.0172391555</v>
      </c>
      <c r="I103" s="374">
        <v>1804251.0172391555</v>
      </c>
      <c r="J103" s="53">
        <f>+I103-H103</f>
        <v>0</v>
      </c>
      <c r="K103" s="53"/>
      <c r="L103" s="376">
        <f t="shared" si="37"/>
        <v>1804251.0172391555</v>
      </c>
      <c r="M103" s="53">
        <f t="shared" si="38"/>
        <v>0</v>
      </c>
      <c r="N103" s="376">
        <f t="shared" si="39"/>
        <v>1804251.0172391555</v>
      </c>
      <c r="O103" s="53">
        <f>IF(N103&lt;&gt;0,+I103-N103,0)</f>
        <v>0</v>
      </c>
      <c r="P103" s="53">
        <f>+O103-M103</f>
        <v>0</v>
      </c>
      <c r="Q103" s="1"/>
      <c r="R103" s="1"/>
      <c r="S103" s="1"/>
      <c r="T103" s="1"/>
      <c r="U103" s="1"/>
    </row>
    <row r="104" spans="1:21">
      <c r="B104" t="str">
        <f t="shared" si="40"/>
        <v/>
      </c>
      <c r="C104" s="49">
        <f>IF(D94="","-",+C103+1)</f>
        <v>2018</v>
      </c>
      <c r="D104" s="371">
        <v>12387081.889705883</v>
      </c>
      <c r="E104" s="373">
        <v>368179.72222222225</v>
      </c>
      <c r="F104" s="375">
        <v>12018902.167483661</v>
      </c>
      <c r="G104" s="375">
        <v>12202992.028594773</v>
      </c>
      <c r="H104" s="373">
        <v>1656357.447097271</v>
      </c>
      <c r="I104" s="374">
        <v>1656357.447097271</v>
      </c>
      <c r="J104" s="53">
        <v>0</v>
      </c>
      <c r="K104" s="53"/>
      <c r="L104" s="376">
        <f t="shared" si="37"/>
        <v>1656357.447097271</v>
      </c>
      <c r="M104" s="53">
        <f t="shared" si="38"/>
        <v>0</v>
      </c>
      <c r="N104" s="376">
        <f t="shared" si="39"/>
        <v>1656357.447097271</v>
      </c>
      <c r="O104" s="53">
        <f>IF(N104&lt;&gt;0,+I104-N104,0)</f>
        <v>0</v>
      </c>
      <c r="P104" s="53">
        <f>+O104-M104</f>
        <v>0</v>
      </c>
      <c r="Q104" s="1"/>
      <c r="R104" s="1"/>
      <c r="S104" s="1"/>
      <c r="T104" s="1"/>
      <c r="U104" s="1"/>
    </row>
    <row r="105" spans="1:21">
      <c r="B105" t="str">
        <f t="shared" si="40"/>
        <v/>
      </c>
      <c r="C105" s="49">
        <f>IF(D94="","-",+C104+1)</f>
        <v>2019</v>
      </c>
      <c r="D105" s="371">
        <v>12018902.167483661</v>
      </c>
      <c r="E105" s="373">
        <v>401650.60606060608</v>
      </c>
      <c r="F105" s="375">
        <v>11617251.561423056</v>
      </c>
      <c r="G105" s="375">
        <v>11818076.864453359</v>
      </c>
      <c r="H105" s="373">
        <v>1678111.9401217271</v>
      </c>
      <c r="I105" s="374">
        <v>1678111.9401217271</v>
      </c>
      <c r="J105" s="53">
        <f t="shared" ref="J105:J155" si="41">+I105-H105</f>
        <v>0</v>
      </c>
      <c r="K105" s="53"/>
      <c r="L105" s="376">
        <f t="shared" si="37"/>
        <v>1678111.9401217271</v>
      </c>
      <c r="M105" s="53">
        <f t="shared" si="38"/>
        <v>0</v>
      </c>
      <c r="N105" s="376">
        <f t="shared" si="39"/>
        <v>1678111.9401217271</v>
      </c>
      <c r="O105" s="53">
        <f>IF(N105&lt;&gt;0,+I105-N105,0)</f>
        <v>0</v>
      </c>
      <c r="P105" s="53">
        <f>+O105-M105</f>
        <v>0</v>
      </c>
      <c r="Q105" s="1"/>
      <c r="R105" s="1"/>
      <c r="S105" s="1"/>
      <c r="T105" s="1"/>
      <c r="U105" s="1"/>
    </row>
    <row r="106" spans="1:21">
      <c r="B106" t="str">
        <f t="shared" si="40"/>
        <v>IU</v>
      </c>
      <c r="C106" s="49">
        <f>IF(D94="","-",+C105+1)</f>
        <v>2020</v>
      </c>
      <c r="D106" s="371">
        <v>12018902.167483661</v>
      </c>
      <c r="E106" s="373">
        <v>473373.92857142858</v>
      </c>
      <c r="F106" s="375">
        <v>11545528.238912232</v>
      </c>
      <c r="G106" s="375">
        <v>11782215.203197947</v>
      </c>
      <c r="H106" s="373">
        <v>1727160.6739647929</v>
      </c>
      <c r="I106" s="374">
        <v>1727160.6739647929</v>
      </c>
      <c r="J106" s="53">
        <f t="shared" si="41"/>
        <v>0</v>
      </c>
      <c r="K106" s="53"/>
      <c r="L106" s="376">
        <f t="shared" si="37"/>
        <v>1727160.6739647929</v>
      </c>
      <c r="M106" s="53">
        <f t="shared" si="38"/>
        <v>0</v>
      </c>
      <c r="N106" s="376">
        <f t="shared" si="39"/>
        <v>1727160.6739647929</v>
      </c>
      <c r="O106" s="53">
        <f t="shared" si="35"/>
        <v>0</v>
      </c>
      <c r="P106" s="53">
        <f t="shared" si="36"/>
        <v>0</v>
      </c>
      <c r="Q106" s="1"/>
      <c r="R106" s="1"/>
      <c r="S106" s="1"/>
      <c r="T106" s="1"/>
      <c r="U106" s="1"/>
    </row>
    <row r="107" spans="1:21">
      <c r="B107" t="str">
        <f t="shared" si="40"/>
        <v>IU</v>
      </c>
      <c r="C107" s="49">
        <f>IF(D94="","-",+C106+1)</f>
        <v>2021</v>
      </c>
      <c r="D107" s="371">
        <v>11143877.632851625</v>
      </c>
      <c r="E107" s="373">
        <v>530178.80000000005</v>
      </c>
      <c r="F107" s="375">
        <v>10613698.832851624</v>
      </c>
      <c r="G107" s="375">
        <v>10878788.232851624</v>
      </c>
      <c r="H107" s="373">
        <v>1813462.5604316716</v>
      </c>
      <c r="I107" s="374">
        <v>1813462.5604316716</v>
      </c>
      <c r="J107" s="53">
        <f t="shared" si="41"/>
        <v>0</v>
      </c>
      <c r="K107" s="53"/>
      <c r="L107" s="376">
        <f t="shared" ref="L107" si="42">H107</f>
        <v>1813462.5604316716</v>
      </c>
      <c r="M107" s="53">
        <f t="shared" ref="M107" si="43">IF(L107&lt;&gt;0,+H107-L107,0)</f>
        <v>0</v>
      </c>
      <c r="N107" s="376">
        <f t="shared" ref="N107" si="44">I107</f>
        <v>1813462.5604316716</v>
      </c>
      <c r="O107" s="53">
        <f t="shared" si="35"/>
        <v>0</v>
      </c>
      <c r="P107" s="53">
        <f t="shared" si="36"/>
        <v>0</v>
      </c>
      <c r="Q107" s="1"/>
      <c r="R107" s="1"/>
      <c r="S107" s="1"/>
      <c r="T107" s="1"/>
      <c r="U107" s="1"/>
    </row>
    <row r="108" spans="1:21">
      <c r="B108" t="str">
        <f t="shared" si="40"/>
        <v/>
      </c>
      <c r="C108" s="49">
        <f>IF(D94="","-",+C107+1)</f>
        <v>2022</v>
      </c>
      <c r="D108" s="371">
        <v>10613698.832851624</v>
      </c>
      <c r="E108" s="373">
        <v>631165.23809523811</v>
      </c>
      <c r="F108" s="375">
        <v>9982533.5947563853</v>
      </c>
      <c r="G108" s="375">
        <v>10298116.213804005</v>
      </c>
      <c r="H108" s="373">
        <v>1815098.6314684972</v>
      </c>
      <c r="I108" s="374">
        <v>1815098.6314684972</v>
      </c>
      <c r="J108" s="53">
        <f t="shared" si="41"/>
        <v>0</v>
      </c>
      <c r="K108" s="53"/>
      <c r="L108" s="376">
        <f t="shared" ref="L108" si="45">H108</f>
        <v>1815098.6314684972</v>
      </c>
      <c r="M108" s="53">
        <f t="shared" ref="M108" si="46">IF(L108&lt;&gt;0,+H108-L108,0)</f>
        <v>0</v>
      </c>
      <c r="N108" s="376">
        <f t="shared" ref="N108" si="47">I108</f>
        <v>1815098.6314684972</v>
      </c>
      <c r="O108" s="53">
        <f t="shared" ref="O108" si="48">IF(N108&lt;&gt;0,+I108-N108,0)</f>
        <v>0</v>
      </c>
      <c r="P108" s="53">
        <f t="shared" ref="P108" si="49">+O108-M108</f>
        <v>0</v>
      </c>
      <c r="Q108" s="1"/>
      <c r="R108" s="1"/>
      <c r="S108" s="1"/>
      <c r="T108" s="1"/>
      <c r="U108" s="1"/>
    </row>
    <row r="109" spans="1:21">
      <c r="B109" t="str">
        <f t="shared" si="40"/>
        <v/>
      </c>
      <c r="C109" s="49">
        <f>IF(D94="","-",+C108+1)</f>
        <v>2023</v>
      </c>
      <c r="D109" s="371">
        <v>9982533.5947563853</v>
      </c>
      <c r="E109" s="373">
        <v>697603.68421052629</v>
      </c>
      <c r="F109" s="375">
        <v>9284929.9105458595</v>
      </c>
      <c r="G109" s="375">
        <v>9633731.7526511215</v>
      </c>
      <c r="H109" s="373">
        <v>1753789.7744381162</v>
      </c>
      <c r="I109" s="374">
        <v>1753789.7744381162</v>
      </c>
      <c r="J109" s="53">
        <f t="shared" si="41"/>
        <v>0</v>
      </c>
      <c r="K109" s="53"/>
      <c r="L109" s="376">
        <f t="shared" ref="L109" si="50">H109</f>
        <v>1753789.7744381162</v>
      </c>
      <c r="M109" s="53">
        <f t="shared" ref="M109" si="51">IF(L109&lt;&gt;0,+H109-L109,0)</f>
        <v>0</v>
      </c>
      <c r="N109" s="376">
        <f t="shared" ref="N109" si="52">I109</f>
        <v>1753789.7744381162</v>
      </c>
      <c r="O109" s="53">
        <f t="shared" ref="O109" si="53">IF(N109&lt;&gt;0,+I109-N109,0)</f>
        <v>0</v>
      </c>
      <c r="P109" s="53">
        <f t="shared" ref="P109" si="54">+O109-M109</f>
        <v>0</v>
      </c>
      <c r="Q109" s="1"/>
      <c r="R109" s="1"/>
      <c r="S109" s="1"/>
      <c r="T109" s="1"/>
      <c r="U109" s="1"/>
    </row>
    <row r="110" spans="1:21">
      <c r="B110" t="str">
        <f t="shared" si="40"/>
        <v/>
      </c>
      <c r="C110" s="49">
        <f>IF(D94="","-",+C109+1)</f>
        <v>2024</v>
      </c>
      <c r="D110" s="371">
        <v>9284929.9105458595</v>
      </c>
      <c r="E110" s="373">
        <v>779674.70588235289</v>
      </c>
      <c r="F110" s="375">
        <v>8505255.2046635058</v>
      </c>
      <c r="G110" s="375">
        <v>8895092.5576046817</v>
      </c>
      <c r="H110" s="373">
        <v>1764585.6542590447</v>
      </c>
      <c r="I110" s="374">
        <v>1764585.6542590447</v>
      </c>
      <c r="J110" s="53">
        <f t="shared" si="41"/>
        <v>0</v>
      </c>
      <c r="K110" s="53"/>
      <c r="L110" s="376">
        <f t="shared" ref="L110" si="55">H110</f>
        <v>1764585.6542590447</v>
      </c>
      <c r="M110" s="53">
        <f t="shared" ref="M110" si="56">IF(L110&lt;&gt;0,+H110-L110,0)</f>
        <v>0</v>
      </c>
      <c r="N110" s="376">
        <f t="shared" ref="N110" si="57">I110</f>
        <v>1764585.6542590447</v>
      </c>
      <c r="O110" s="53">
        <f t="shared" ref="O110" si="58">IF(N110&lt;&gt;0,+I110-N110,0)</f>
        <v>0</v>
      </c>
      <c r="P110" s="53">
        <f t="shared" ref="P110" si="59">+O110-M110</f>
        <v>0</v>
      </c>
      <c r="Q110" s="1"/>
      <c r="R110" s="1"/>
      <c r="S110" s="1"/>
      <c r="T110" s="1"/>
      <c r="U110" s="1"/>
    </row>
    <row r="111" spans="1:21">
      <c r="B111" t="str">
        <f t="shared" si="40"/>
        <v/>
      </c>
      <c r="C111" s="49">
        <f>IF(D94="","-",+C110+1)</f>
        <v>2025</v>
      </c>
      <c r="D111" s="11">
        <f>IF(F110+SUM(E$100:E110)=D$93,F110,D$93-SUM(E$100:E110))</f>
        <v>8505255.2046635058</v>
      </c>
      <c r="E111" s="447">
        <f t="shared" ref="E111:E155" si="60">IF(+$J$97&lt;F110,$J$97,D111)</f>
        <v>414202.1875</v>
      </c>
      <c r="F111" s="54">
        <f t="shared" ref="F111:F155" si="61">+D111-E111</f>
        <v>8091053.0171635058</v>
      </c>
      <c r="G111" s="54">
        <f t="shared" ref="G111:G155" si="62">+(F111+D111)/2</f>
        <v>8298154.1109135058</v>
      </c>
      <c r="H111" s="459">
        <f t="shared" ref="H111:H155" si="63">(D111+F111)/2*J$95+E111</f>
        <v>1347453.7627301975</v>
      </c>
      <c r="I111" s="448">
        <f t="shared" ref="I111:I155" si="64">+J$96*G111+E111</f>
        <v>1347453.7627301975</v>
      </c>
      <c r="J111" s="53">
        <f t="shared" si="41"/>
        <v>0</v>
      </c>
      <c r="K111" s="53"/>
      <c r="L111" s="112"/>
      <c r="M111" s="53">
        <f t="shared" si="34"/>
        <v>0</v>
      </c>
      <c r="N111" s="112"/>
      <c r="O111" s="53">
        <f t="shared" si="35"/>
        <v>0</v>
      </c>
      <c r="P111" s="53">
        <f t="shared" si="36"/>
        <v>0</v>
      </c>
      <c r="Q111" s="1"/>
      <c r="R111" s="1"/>
      <c r="S111" s="1"/>
      <c r="T111" s="1"/>
      <c r="U111" s="1"/>
    </row>
    <row r="112" spans="1:21">
      <c r="B112" t="str">
        <f t="shared" si="40"/>
        <v/>
      </c>
      <c r="C112" s="49">
        <f>IF(D94="","-",+C111+1)</f>
        <v>2026</v>
      </c>
      <c r="D112" s="11">
        <f>IF(F111+SUM(E$100:E111)=D$93,F111,D$93-SUM(E$100:E111))</f>
        <v>8091053.0171635058</v>
      </c>
      <c r="E112" s="447">
        <f t="shared" si="60"/>
        <v>414202.1875</v>
      </c>
      <c r="F112" s="54">
        <f t="shared" si="61"/>
        <v>7676850.8296635058</v>
      </c>
      <c r="G112" s="54">
        <f t="shared" si="62"/>
        <v>7883951.9234135058</v>
      </c>
      <c r="H112" s="459">
        <f t="shared" si="63"/>
        <v>1300870.530027905</v>
      </c>
      <c r="I112" s="448">
        <f t="shared" si="64"/>
        <v>1300870.530027905</v>
      </c>
      <c r="J112" s="53">
        <f t="shared" si="41"/>
        <v>0</v>
      </c>
      <c r="K112" s="53"/>
      <c r="L112" s="112"/>
      <c r="M112" s="53">
        <f t="shared" si="34"/>
        <v>0</v>
      </c>
      <c r="N112" s="112"/>
      <c r="O112" s="53">
        <f t="shared" si="35"/>
        <v>0</v>
      </c>
      <c r="P112" s="53">
        <f t="shared" si="36"/>
        <v>0</v>
      </c>
      <c r="Q112" s="1"/>
      <c r="R112" s="1"/>
      <c r="S112" s="1"/>
      <c r="T112" s="1"/>
      <c r="U112" s="1"/>
    </row>
    <row r="113" spans="2:21">
      <c r="B113" t="str">
        <f t="shared" si="40"/>
        <v/>
      </c>
      <c r="C113" s="49">
        <f>IF(D94="","-",+C112+1)</f>
        <v>2027</v>
      </c>
      <c r="D113" s="11">
        <f>IF(F112+SUM(E$100:E112)=D$93,F112,D$93-SUM(E$100:E112))</f>
        <v>7676850.8296635058</v>
      </c>
      <c r="E113" s="447">
        <f t="shared" si="60"/>
        <v>414202.1875</v>
      </c>
      <c r="F113" s="54">
        <f t="shared" si="61"/>
        <v>7262648.6421635058</v>
      </c>
      <c r="G113" s="54">
        <f t="shared" si="62"/>
        <v>7469749.7359135058</v>
      </c>
      <c r="H113" s="459">
        <f t="shared" si="63"/>
        <v>1254287.2973256125</v>
      </c>
      <c r="I113" s="448">
        <f t="shared" si="64"/>
        <v>1254287.2973256125</v>
      </c>
      <c r="J113" s="53">
        <f t="shared" si="41"/>
        <v>0</v>
      </c>
      <c r="K113" s="53"/>
      <c r="L113" s="112"/>
      <c r="M113" s="53">
        <f t="shared" si="34"/>
        <v>0</v>
      </c>
      <c r="N113" s="112"/>
      <c r="O113" s="53">
        <f t="shared" si="35"/>
        <v>0</v>
      </c>
      <c r="P113" s="53">
        <f t="shared" si="36"/>
        <v>0</v>
      </c>
      <c r="Q113" s="1"/>
      <c r="R113" s="1"/>
      <c r="S113" s="1"/>
      <c r="T113" s="1"/>
      <c r="U113" s="1"/>
    </row>
    <row r="114" spans="2:21">
      <c r="B114" t="str">
        <f t="shared" si="40"/>
        <v/>
      </c>
      <c r="C114" s="49">
        <f>IF(D94="","-",+C113+1)</f>
        <v>2028</v>
      </c>
      <c r="D114" s="11">
        <f>IF(F113+SUM(E$100:E113)=D$93,F113,D$93-SUM(E$100:E113))</f>
        <v>7262648.6421635058</v>
      </c>
      <c r="E114" s="447">
        <f t="shared" si="60"/>
        <v>414202.1875</v>
      </c>
      <c r="F114" s="54">
        <f t="shared" si="61"/>
        <v>6848446.4546635058</v>
      </c>
      <c r="G114" s="54">
        <f t="shared" si="62"/>
        <v>7055547.5484135058</v>
      </c>
      <c r="H114" s="459">
        <f t="shared" si="63"/>
        <v>1207704.06462332</v>
      </c>
      <c r="I114" s="448">
        <f t="shared" si="64"/>
        <v>1207704.06462332</v>
      </c>
      <c r="J114" s="53">
        <f t="shared" si="41"/>
        <v>0</v>
      </c>
      <c r="K114" s="53"/>
      <c r="L114" s="112"/>
      <c r="M114" s="53">
        <f t="shared" si="34"/>
        <v>0</v>
      </c>
      <c r="N114" s="112"/>
      <c r="O114" s="53">
        <f t="shared" si="35"/>
        <v>0</v>
      </c>
      <c r="P114" s="53">
        <f t="shared" si="36"/>
        <v>0</v>
      </c>
      <c r="Q114" s="1"/>
      <c r="R114" s="1"/>
      <c r="S114" s="1"/>
      <c r="T114" s="1"/>
      <c r="U114" s="1"/>
    </row>
    <row r="115" spans="2:21">
      <c r="B115" t="str">
        <f t="shared" si="40"/>
        <v/>
      </c>
      <c r="C115" s="49">
        <f>IF(D94="","-",+C114+1)</f>
        <v>2029</v>
      </c>
      <c r="D115" s="11">
        <f>IF(F114+SUM(E$100:E114)=D$93,F114,D$93-SUM(E$100:E114))</f>
        <v>6848446.4546635058</v>
      </c>
      <c r="E115" s="447">
        <f t="shared" si="60"/>
        <v>414202.1875</v>
      </c>
      <c r="F115" s="54">
        <f t="shared" si="61"/>
        <v>6434244.2671635058</v>
      </c>
      <c r="G115" s="54">
        <f t="shared" si="62"/>
        <v>6641345.3609135058</v>
      </c>
      <c r="H115" s="459">
        <f t="shared" si="63"/>
        <v>1161120.8319210275</v>
      </c>
      <c r="I115" s="448">
        <f t="shared" si="64"/>
        <v>1161120.8319210275</v>
      </c>
      <c r="J115" s="53">
        <f t="shared" si="41"/>
        <v>0</v>
      </c>
      <c r="K115" s="53"/>
      <c r="L115" s="112"/>
      <c r="M115" s="53">
        <f t="shared" si="34"/>
        <v>0</v>
      </c>
      <c r="N115" s="112"/>
      <c r="O115" s="53">
        <f t="shared" si="35"/>
        <v>0</v>
      </c>
      <c r="P115" s="53">
        <f t="shared" si="36"/>
        <v>0</v>
      </c>
      <c r="Q115" s="1"/>
      <c r="R115" s="1"/>
      <c r="S115" s="1"/>
      <c r="T115" s="1"/>
      <c r="U115" s="1"/>
    </row>
    <row r="116" spans="2:21">
      <c r="B116" t="str">
        <f t="shared" si="40"/>
        <v/>
      </c>
      <c r="C116" s="49">
        <f>IF(D94="","-",+C115+1)</f>
        <v>2030</v>
      </c>
      <c r="D116" s="11">
        <f>IF(F115+SUM(E$100:E115)=D$93,F115,D$93-SUM(E$100:E115))</f>
        <v>6434244.2671635058</v>
      </c>
      <c r="E116" s="447">
        <f t="shared" si="60"/>
        <v>414202.1875</v>
      </c>
      <c r="F116" s="54">
        <f t="shared" si="61"/>
        <v>6020042.0796635058</v>
      </c>
      <c r="G116" s="54">
        <f t="shared" si="62"/>
        <v>6227143.1734135058</v>
      </c>
      <c r="H116" s="459">
        <f t="shared" si="63"/>
        <v>1114537.599218735</v>
      </c>
      <c r="I116" s="448">
        <f t="shared" si="64"/>
        <v>1114537.599218735</v>
      </c>
      <c r="J116" s="53">
        <f t="shared" si="41"/>
        <v>0</v>
      </c>
      <c r="K116" s="53"/>
      <c r="L116" s="112"/>
      <c r="M116" s="53">
        <f t="shared" si="34"/>
        <v>0</v>
      </c>
      <c r="N116" s="112"/>
      <c r="O116" s="53">
        <f t="shared" si="35"/>
        <v>0</v>
      </c>
      <c r="P116" s="53">
        <f t="shared" si="36"/>
        <v>0</v>
      </c>
      <c r="Q116" s="1"/>
      <c r="R116" s="1"/>
      <c r="S116" s="1"/>
      <c r="T116" s="1"/>
      <c r="U116" s="1"/>
    </row>
    <row r="117" spans="2:21">
      <c r="B117" t="str">
        <f t="shared" si="40"/>
        <v/>
      </c>
      <c r="C117" s="49">
        <f>IF(D94="","-",+C116+1)</f>
        <v>2031</v>
      </c>
      <c r="D117" s="11">
        <f>IF(F116+SUM(E$100:E116)=D$93,F116,D$93-SUM(E$100:E116))</f>
        <v>6020042.0796635058</v>
      </c>
      <c r="E117" s="447">
        <f t="shared" si="60"/>
        <v>414202.1875</v>
      </c>
      <c r="F117" s="54">
        <f t="shared" si="61"/>
        <v>5605839.8921635058</v>
      </c>
      <c r="G117" s="54">
        <f t="shared" si="62"/>
        <v>5812940.9859135058</v>
      </c>
      <c r="H117" s="459">
        <f t="shared" si="63"/>
        <v>1067954.3665164425</v>
      </c>
      <c r="I117" s="448">
        <f t="shared" si="64"/>
        <v>1067954.3665164425</v>
      </c>
      <c r="J117" s="53">
        <f t="shared" si="41"/>
        <v>0</v>
      </c>
      <c r="K117" s="53"/>
      <c r="L117" s="112"/>
      <c r="M117" s="53">
        <f t="shared" si="34"/>
        <v>0</v>
      </c>
      <c r="N117" s="112"/>
      <c r="O117" s="53">
        <f t="shared" si="35"/>
        <v>0</v>
      </c>
      <c r="P117" s="53">
        <f t="shared" si="36"/>
        <v>0</v>
      </c>
      <c r="Q117" s="1"/>
      <c r="R117" s="1"/>
      <c r="S117" s="1"/>
      <c r="T117" s="1"/>
      <c r="U117" s="1"/>
    </row>
    <row r="118" spans="2:21">
      <c r="B118" t="str">
        <f t="shared" si="40"/>
        <v/>
      </c>
      <c r="C118" s="49">
        <f>IF(D94="","-",+C117+1)</f>
        <v>2032</v>
      </c>
      <c r="D118" s="11">
        <f>IF(F117+SUM(E$100:E117)=D$93,F117,D$93-SUM(E$100:E117))</f>
        <v>5605839.8921635058</v>
      </c>
      <c r="E118" s="447">
        <f t="shared" si="60"/>
        <v>414202.1875</v>
      </c>
      <c r="F118" s="54">
        <f t="shared" si="61"/>
        <v>5191637.7046635058</v>
      </c>
      <c r="G118" s="54">
        <f t="shared" si="62"/>
        <v>5398738.7984135058</v>
      </c>
      <c r="H118" s="459">
        <f t="shared" si="63"/>
        <v>1021371.1338141502</v>
      </c>
      <c r="I118" s="448">
        <f t="shared" si="64"/>
        <v>1021371.1338141502</v>
      </c>
      <c r="J118" s="53">
        <f t="shared" si="41"/>
        <v>0</v>
      </c>
      <c r="K118" s="53"/>
      <c r="L118" s="112"/>
      <c r="M118" s="53">
        <f t="shared" si="34"/>
        <v>0</v>
      </c>
      <c r="N118" s="112"/>
      <c r="O118" s="53">
        <f t="shared" si="35"/>
        <v>0</v>
      </c>
      <c r="P118" s="53">
        <f t="shared" si="36"/>
        <v>0</v>
      </c>
      <c r="Q118" s="1"/>
      <c r="R118" s="1"/>
      <c r="S118" s="1"/>
      <c r="T118" s="1"/>
      <c r="U118" s="1"/>
    </row>
    <row r="119" spans="2:21">
      <c r="B119" t="str">
        <f t="shared" si="40"/>
        <v/>
      </c>
      <c r="C119" s="49">
        <f>IF(D94="","-",+C118+1)</f>
        <v>2033</v>
      </c>
      <c r="D119" s="11">
        <f>IF(F118+SUM(E$100:E118)=D$93,F118,D$93-SUM(E$100:E118))</f>
        <v>5191637.7046635058</v>
      </c>
      <c r="E119" s="447">
        <f t="shared" si="60"/>
        <v>414202.1875</v>
      </c>
      <c r="F119" s="54">
        <f t="shared" si="61"/>
        <v>4777435.5171635058</v>
      </c>
      <c r="G119" s="54">
        <f t="shared" si="62"/>
        <v>4984536.6109135058</v>
      </c>
      <c r="H119" s="459">
        <f t="shared" si="63"/>
        <v>974787.90111185773</v>
      </c>
      <c r="I119" s="448">
        <f t="shared" si="64"/>
        <v>974787.90111185773</v>
      </c>
      <c r="J119" s="53">
        <f t="shared" si="41"/>
        <v>0</v>
      </c>
      <c r="K119" s="53"/>
      <c r="L119" s="112"/>
      <c r="M119" s="53">
        <f t="shared" si="34"/>
        <v>0</v>
      </c>
      <c r="N119" s="112"/>
      <c r="O119" s="53">
        <f t="shared" si="35"/>
        <v>0</v>
      </c>
      <c r="P119" s="53">
        <f t="shared" si="36"/>
        <v>0</v>
      </c>
      <c r="Q119" s="1"/>
      <c r="R119" s="1"/>
      <c r="S119" s="1"/>
      <c r="T119" s="1"/>
      <c r="U119" s="1"/>
    </row>
    <row r="120" spans="2:21">
      <c r="B120" t="str">
        <f t="shared" si="40"/>
        <v/>
      </c>
      <c r="C120" s="49">
        <f>IF(D94="","-",+C119+1)</f>
        <v>2034</v>
      </c>
      <c r="D120" s="11">
        <f>IF(F119+SUM(E$100:E119)=D$93,F119,D$93-SUM(E$100:E119))</f>
        <v>4777435.5171635058</v>
      </c>
      <c r="E120" s="447">
        <f t="shared" si="60"/>
        <v>414202.1875</v>
      </c>
      <c r="F120" s="54">
        <f t="shared" si="61"/>
        <v>4363233.3296635058</v>
      </c>
      <c r="G120" s="54">
        <f t="shared" si="62"/>
        <v>4570334.4234135058</v>
      </c>
      <c r="H120" s="459">
        <f t="shared" si="63"/>
        <v>928204.66840956523</v>
      </c>
      <c r="I120" s="448">
        <f t="shared" si="64"/>
        <v>928204.66840956523</v>
      </c>
      <c r="J120" s="53">
        <f t="shared" si="41"/>
        <v>0</v>
      </c>
      <c r="K120" s="53"/>
      <c r="L120" s="112"/>
      <c r="M120" s="53">
        <f t="shared" si="34"/>
        <v>0</v>
      </c>
      <c r="N120" s="112"/>
      <c r="O120" s="53">
        <f t="shared" si="35"/>
        <v>0</v>
      </c>
      <c r="P120" s="53">
        <f t="shared" si="36"/>
        <v>0</v>
      </c>
      <c r="Q120" s="1"/>
      <c r="R120" s="1"/>
      <c r="S120" s="1"/>
      <c r="T120" s="1"/>
      <c r="U120" s="1"/>
    </row>
    <row r="121" spans="2:21">
      <c r="B121" t="str">
        <f t="shared" si="40"/>
        <v/>
      </c>
      <c r="C121" s="49">
        <f>IF(D94="","-",+C120+1)</f>
        <v>2035</v>
      </c>
      <c r="D121" s="11">
        <f>IF(F120+SUM(E$100:E120)=D$93,F120,D$93-SUM(E$100:E120))</f>
        <v>4363233.3296635058</v>
      </c>
      <c r="E121" s="447">
        <f t="shared" si="60"/>
        <v>414202.1875</v>
      </c>
      <c r="F121" s="54">
        <f t="shared" si="61"/>
        <v>3949031.1421635058</v>
      </c>
      <c r="G121" s="54">
        <f t="shared" si="62"/>
        <v>4156132.2359135058</v>
      </c>
      <c r="H121" s="459">
        <f t="shared" si="63"/>
        <v>881621.43570727285</v>
      </c>
      <c r="I121" s="448">
        <f t="shared" si="64"/>
        <v>881621.43570727285</v>
      </c>
      <c r="J121" s="53">
        <f t="shared" si="41"/>
        <v>0</v>
      </c>
      <c r="K121" s="53"/>
      <c r="L121" s="112"/>
      <c r="M121" s="53">
        <f t="shared" si="34"/>
        <v>0</v>
      </c>
      <c r="N121" s="112"/>
      <c r="O121" s="53">
        <f t="shared" si="35"/>
        <v>0</v>
      </c>
      <c r="P121" s="53">
        <f t="shared" si="36"/>
        <v>0</v>
      </c>
      <c r="Q121" s="1"/>
      <c r="R121" s="1"/>
      <c r="S121" s="1"/>
      <c r="T121" s="1"/>
      <c r="U121" s="1"/>
    </row>
    <row r="122" spans="2:21">
      <c r="B122" t="str">
        <f t="shared" si="40"/>
        <v/>
      </c>
      <c r="C122" s="49">
        <f>IF(D94="","-",+C121+1)</f>
        <v>2036</v>
      </c>
      <c r="D122" s="11">
        <f>IF(F121+SUM(E$100:E121)=D$93,F121,D$93-SUM(E$100:E121))</f>
        <v>3949031.1421635058</v>
      </c>
      <c r="E122" s="447">
        <f t="shared" si="60"/>
        <v>414202.1875</v>
      </c>
      <c r="F122" s="54">
        <f t="shared" si="61"/>
        <v>3534828.9546635058</v>
      </c>
      <c r="G122" s="54">
        <f t="shared" si="62"/>
        <v>3741930.0484135058</v>
      </c>
      <c r="H122" s="459">
        <f t="shared" si="63"/>
        <v>835038.20300498046</v>
      </c>
      <c r="I122" s="448">
        <f t="shared" si="64"/>
        <v>835038.20300498046</v>
      </c>
      <c r="J122" s="53">
        <f t="shared" si="41"/>
        <v>0</v>
      </c>
      <c r="K122" s="53"/>
      <c r="L122" s="112"/>
      <c r="M122" s="53">
        <f t="shared" si="34"/>
        <v>0</v>
      </c>
      <c r="N122" s="112"/>
      <c r="O122" s="53">
        <f t="shared" si="35"/>
        <v>0</v>
      </c>
      <c r="P122" s="53">
        <f t="shared" si="36"/>
        <v>0</v>
      </c>
      <c r="Q122" s="1"/>
      <c r="R122" s="1"/>
      <c r="S122" s="1"/>
      <c r="T122" s="1"/>
      <c r="U122" s="1"/>
    </row>
    <row r="123" spans="2:21">
      <c r="B123" t="str">
        <f t="shared" si="40"/>
        <v/>
      </c>
      <c r="C123" s="49">
        <f>IF(D94="","-",+C122+1)</f>
        <v>2037</v>
      </c>
      <c r="D123" s="11">
        <f>IF(F122+SUM(E$100:E122)=D$93,F122,D$93-SUM(E$100:E122))</f>
        <v>3534828.9546635058</v>
      </c>
      <c r="E123" s="447">
        <f t="shared" si="60"/>
        <v>414202.1875</v>
      </c>
      <c r="F123" s="54">
        <f t="shared" si="61"/>
        <v>3120626.7671635058</v>
      </c>
      <c r="G123" s="54">
        <f t="shared" si="62"/>
        <v>3327727.8609135058</v>
      </c>
      <c r="H123" s="459">
        <f t="shared" si="63"/>
        <v>788454.97030268796</v>
      </c>
      <c r="I123" s="448">
        <f t="shared" si="64"/>
        <v>788454.97030268796</v>
      </c>
      <c r="J123" s="53">
        <f t="shared" si="41"/>
        <v>0</v>
      </c>
      <c r="K123" s="53"/>
      <c r="L123" s="112"/>
      <c r="M123" s="53">
        <f t="shared" si="34"/>
        <v>0</v>
      </c>
      <c r="N123" s="112"/>
      <c r="O123" s="53">
        <f t="shared" si="35"/>
        <v>0</v>
      </c>
      <c r="P123" s="53">
        <f t="shared" si="36"/>
        <v>0</v>
      </c>
      <c r="Q123" s="1"/>
      <c r="R123" s="1"/>
      <c r="S123" s="1"/>
      <c r="T123" s="1"/>
      <c r="U123" s="1"/>
    </row>
    <row r="124" spans="2:21">
      <c r="B124" t="str">
        <f t="shared" si="40"/>
        <v/>
      </c>
      <c r="C124" s="49">
        <f>IF(D94="","-",+C123+1)</f>
        <v>2038</v>
      </c>
      <c r="D124" s="11">
        <f>IF(F123+SUM(E$100:E123)=D$93,F123,D$93-SUM(E$100:E123))</f>
        <v>3120626.7671635058</v>
      </c>
      <c r="E124" s="447">
        <f t="shared" si="60"/>
        <v>414202.1875</v>
      </c>
      <c r="F124" s="54">
        <f t="shared" si="61"/>
        <v>2706424.5796635058</v>
      </c>
      <c r="G124" s="54">
        <f t="shared" si="62"/>
        <v>2913525.6734135058</v>
      </c>
      <c r="H124" s="459">
        <f t="shared" si="63"/>
        <v>741871.73760039546</v>
      </c>
      <c r="I124" s="448">
        <f t="shared" si="64"/>
        <v>741871.73760039546</v>
      </c>
      <c r="J124" s="53">
        <f t="shared" si="41"/>
        <v>0</v>
      </c>
      <c r="K124" s="53"/>
      <c r="L124" s="112"/>
      <c r="M124" s="53">
        <f t="shared" si="34"/>
        <v>0</v>
      </c>
      <c r="N124" s="112"/>
      <c r="O124" s="53">
        <f t="shared" si="35"/>
        <v>0</v>
      </c>
      <c r="P124" s="53">
        <f t="shared" si="36"/>
        <v>0</v>
      </c>
      <c r="Q124" s="1"/>
      <c r="R124" s="1"/>
      <c r="S124" s="1"/>
      <c r="T124" s="1"/>
      <c r="U124" s="1"/>
    </row>
    <row r="125" spans="2:21">
      <c r="B125" t="str">
        <f t="shared" si="40"/>
        <v/>
      </c>
      <c r="C125" s="49">
        <f>IF(D94="","-",+C124+1)</f>
        <v>2039</v>
      </c>
      <c r="D125" s="11">
        <f>IF(F124+SUM(E$100:E124)=D$93,F124,D$93-SUM(E$100:E124))</f>
        <v>2706424.5796635058</v>
      </c>
      <c r="E125" s="447">
        <f t="shared" si="60"/>
        <v>414202.1875</v>
      </c>
      <c r="F125" s="54">
        <f t="shared" si="61"/>
        <v>2292222.3921635058</v>
      </c>
      <c r="G125" s="54">
        <f t="shared" si="62"/>
        <v>2499323.4859135058</v>
      </c>
      <c r="H125" s="459">
        <f t="shared" si="63"/>
        <v>695288.50489810295</v>
      </c>
      <c r="I125" s="448">
        <f t="shared" si="64"/>
        <v>695288.50489810295</v>
      </c>
      <c r="J125" s="53">
        <f t="shared" si="41"/>
        <v>0</v>
      </c>
      <c r="K125" s="53"/>
      <c r="L125" s="112"/>
      <c r="M125" s="53">
        <f t="shared" si="34"/>
        <v>0</v>
      </c>
      <c r="N125" s="112"/>
      <c r="O125" s="53">
        <f t="shared" si="35"/>
        <v>0</v>
      </c>
      <c r="P125" s="53">
        <f t="shared" si="36"/>
        <v>0</v>
      </c>
      <c r="Q125" s="1"/>
      <c r="R125" s="1"/>
      <c r="S125" s="1"/>
      <c r="T125" s="1"/>
      <c r="U125" s="1"/>
    </row>
    <row r="126" spans="2:21">
      <c r="B126" t="str">
        <f t="shared" si="40"/>
        <v/>
      </c>
      <c r="C126" s="49">
        <f>IF(D94="","-",+C125+1)</f>
        <v>2040</v>
      </c>
      <c r="D126" s="11">
        <f>IF(F125+SUM(E$100:E125)=D$93,F125,D$93-SUM(E$100:E125))</f>
        <v>2292222.3921635058</v>
      </c>
      <c r="E126" s="447">
        <f t="shared" si="60"/>
        <v>414202.1875</v>
      </c>
      <c r="F126" s="54">
        <f t="shared" si="61"/>
        <v>1878020.2046635058</v>
      </c>
      <c r="G126" s="54">
        <f t="shared" si="62"/>
        <v>2085121.2984135058</v>
      </c>
      <c r="H126" s="459">
        <f t="shared" si="63"/>
        <v>648705.27219581057</v>
      </c>
      <c r="I126" s="448">
        <f t="shared" si="64"/>
        <v>648705.27219581057</v>
      </c>
      <c r="J126" s="53">
        <f t="shared" si="41"/>
        <v>0</v>
      </c>
      <c r="K126" s="53"/>
      <c r="L126" s="112"/>
      <c r="M126" s="53">
        <f t="shared" si="34"/>
        <v>0</v>
      </c>
      <c r="N126" s="112"/>
      <c r="O126" s="53">
        <f t="shared" si="35"/>
        <v>0</v>
      </c>
      <c r="P126" s="53">
        <f t="shared" si="36"/>
        <v>0</v>
      </c>
      <c r="Q126" s="1"/>
      <c r="R126" s="1"/>
      <c r="S126" s="1"/>
      <c r="T126" s="1"/>
      <c r="U126" s="1"/>
    </row>
    <row r="127" spans="2:21">
      <c r="B127" t="str">
        <f t="shared" si="40"/>
        <v/>
      </c>
      <c r="C127" s="49">
        <f>IF(D94="","-",+C126+1)</f>
        <v>2041</v>
      </c>
      <c r="D127" s="11">
        <f>IF(F126+SUM(E$100:E126)=D$93,F126,D$93-SUM(E$100:E126))</f>
        <v>1878020.2046635058</v>
      </c>
      <c r="E127" s="447">
        <f t="shared" si="60"/>
        <v>414202.1875</v>
      </c>
      <c r="F127" s="54">
        <f t="shared" si="61"/>
        <v>1463818.0171635058</v>
      </c>
      <c r="G127" s="54">
        <f t="shared" si="62"/>
        <v>1670919.1109135058</v>
      </c>
      <c r="H127" s="459">
        <f t="shared" si="63"/>
        <v>602122.03949351818</v>
      </c>
      <c r="I127" s="448">
        <f t="shared" si="64"/>
        <v>602122.03949351818</v>
      </c>
      <c r="J127" s="53">
        <f t="shared" si="41"/>
        <v>0</v>
      </c>
      <c r="K127" s="53"/>
      <c r="L127" s="112"/>
      <c r="M127" s="53">
        <f t="shared" si="34"/>
        <v>0</v>
      </c>
      <c r="N127" s="112"/>
      <c r="O127" s="53">
        <f t="shared" si="35"/>
        <v>0</v>
      </c>
      <c r="P127" s="53">
        <f t="shared" si="36"/>
        <v>0</v>
      </c>
      <c r="Q127" s="1"/>
      <c r="R127" s="1"/>
      <c r="S127" s="1"/>
      <c r="T127" s="1"/>
      <c r="U127" s="1"/>
    </row>
    <row r="128" spans="2:21">
      <c r="B128" t="str">
        <f t="shared" si="40"/>
        <v/>
      </c>
      <c r="C128" s="49">
        <f>IF(D94="","-",+C127+1)</f>
        <v>2042</v>
      </c>
      <c r="D128" s="11">
        <f>IF(F127+SUM(E$100:E127)=D$93,F127,D$93-SUM(E$100:E127))</f>
        <v>1463818.0171635058</v>
      </c>
      <c r="E128" s="447">
        <f t="shared" si="60"/>
        <v>414202.1875</v>
      </c>
      <c r="F128" s="54">
        <f t="shared" si="61"/>
        <v>1049615.8296635058</v>
      </c>
      <c r="G128" s="54">
        <f t="shared" si="62"/>
        <v>1256716.9234135058</v>
      </c>
      <c r="H128" s="459">
        <f t="shared" si="63"/>
        <v>555538.80679122568</v>
      </c>
      <c r="I128" s="448">
        <f t="shared" si="64"/>
        <v>555538.80679122568</v>
      </c>
      <c r="J128" s="53">
        <f t="shared" si="41"/>
        <v>0</v>
      </c>
      <c r="K128" s="53"/>
      <c r="L128" s="112"/>
      <c r="M128" s="53">
        <f t="shared" si="34"/>
        <v>0</v>
      </c>
      <c r="N128" s="112"/>
      <c r="O128" s="53">
        <f t="shared" si="35"/>
        <v>0</v>
      </c>
      <c r="P128" s="53">
        <f t="shared" si="36"/>
        <v>0</v>
      </c>
      <c r="Q128" s="1"/>
      <c r="R128" s="1"/>
      <c r="S128" s="1"/>
      <c r="T128" s="1"/>
      <c r="U128" s="1"/>
    </row>
    <row r="129" spans="2:21">
      <c r="B129" t="str">
        <f t="shared" si="40"/>
        <v/>
      </c>
      <c r="C129" s="49">
        <f>IF(D94="","-",+C128+1)</f>
        <v>2043</v>
      </c>
      <c r="D129" s="11">
        <f>IF(F128+SUM(E$100:E128)=D$93,F128,D$93-SUM(E$100:E128))</f>
        <v>1049615.8296635058</v>
      </c>
      <c r="E129" s="447">
        <f t="shared" si="60"/>
        <v>414202.1875</v>
      </c>
      <c r="F129" s="54">
        <f t="shared" si="61"/>
        <v>635413.64216350578</v>
      </c>
      <c r="G129" s="54">
        <f t="shared" si="62"/>
        <v>842514.73591350578</v>
      </c>
      <c r="H129" s="459">
        <f t="shared" si="63"/>
        <v>508955.57408893324</v>
      </c>
      <c r="I129" s="448">
        <f t="shared" si="64"/>
        <v>508955.57408893324</v>
      </c>
      <c r="J129" s="53">
        <f t="shared" si="41"/>
        <v>0</v>
      </c>
      <c r="K129" s="53"/>
      <c r="L129" s="112"/>
      <c r="M129" s="53">
        <f t="shared" si="34"/>
        <v>0</v>
      </c>
      <c r="N129" s="112"/>
      <c r="O129" s="53">
        <f t="shared" si="35"/>
        <v>0</v>
      </c>
      <c r="P129" s="53">
        <f t="shared" si="36"/>
        <v>0</v>
      </c>
      <c r="Q129" s="1"/>
      <c r="R129" s="1"/>
      <c r="S129" s="1"/>
      <c r="T129" s="1"/>
      <c r="U129" s="1"/>
    </row>
    <row r="130" spans="2:21">
      <c r="B130" t="str">
        <f t="shared" si="40"/>
        <v/>
      </c>
      <c r="C130" s="49">
        <f>IF(D94="","-",+C129+1)</f>
        <v>2044</v>
      </c>
      <c r="D130" s="11">
        <f>IF(F129+SUM(E$100:E129)=D$93,F129,D$93-SUM(E$100:E129))</f>
        <v>635413.64216350578</v>
      </c>
      <c r="E130" s="447">
        <f t="shared" si="60"/>
        <v>414202.1875</v>
      </c>
      <c r="F130" s="54">
        <f t="shared" si="61"/>
        <v>221211.45466350578</v>
      </c>
      <c r="G130" s="54">
        <f t="shared" si="62"/>
        <v>428312.54841350578</v>
      </c>
      <c r="H130" s="459">
        <f t="shared" si="63"/>
        <v>462372.34138664079</v>
      </c>
      <c r="I130" s="448">
        <f t="shared" si="64"/>
        <v>462372.34138664079</v>
      </c>
      <c r="J130" s="53">
        <f t="shared" si="41"/>
        <v>0</v>
      </c>
      <c r="K130" s="53"/>
      <c r="L130" s="112"/>
      <c r="M130" s="53">
        <f t="shared" si="34"/>
        <v>0</v>
      </c>
      <c r="N130" s="112"/>
      <c r="O130" s="53">
        <f t="shared" si="35"/>
        <v>0</v>
      </c>
      <c r="P130" s="53">
        <f t="shared" si="36"/>
        <v>0</v>
      </c>
      <c r="Q130" s="1"/>
      <c r="R130" s="1"/>
      <c r="S130" s="1"/>
      <c r="T130" s="1"/>
      <c r="U130" s="1"/>
    </row>
    <row r="131" spans="2:21">
      <c r="B131" t="str">
        <f t="shared" si="40"/>
        <v/>
      </c>
      <c r="C131" s="49">
        <f>IF(D94="","-",+C130+1)</f>
        <v>2045</v>
      </c>
      <c r="D131" s="11">
        <f>IF(F130+SUM(E$100:E130)=D$93,F130,D$93-SUM(E$100:E130))</f>
        <v>221211.45466350578</v>
      </c>
      <c r="E131" s="447">
        <f t="shared" si="60"/>
        <v>221211.45466350578</v>
      </c>
      <c r="F131" s="54">
        <f t="shared" si="61"/>
        <v>0</v>
      </c>
      <c r="G131" s="54">
        <f t="shared" si="62"/>
        <v>110605.72733175289</v>
      </c>
      <c r="H131" s="459">
        <f t="shared" si="63"/>
        <v>233650.72343125305</v>
      </c>
      <c r="I131" s="448">
        <f t="shared" si="64"/>
        <v>233650.72343125305</v>
      </c>
      <c r="J131" s="53">
        <f t="shared" si="41"/>
        <v>0</v>
      </c>
      <c r="K131" s="53"/>
      <c r="L131" s="112"/>
      <c r="M131" s="53">
        <f t="shared" si="34"/>
        <v>0</v>
      </c>
      <c r="N131" s="112"/>
      <c r="O131" s="53">
        <f t="shared" si="35"/>
        <v>0</v>
      </c>
      <c r="P131" s="53">
        <f t="shared" si="36"/>
        <v>0</v>
      </c>
      <c r="Q131" s="1"/>
      <c r="R131" s="1"/>
      <c r="S131" s="1"/>
      <c r="T131" s="1"/>
      <c r="U131" s="1"/>
    </row>
    <row r="132" spans="2:21">
      <c r="B132" t="str">
        <f t="shared" si="40"/>
        <v/>
      </c>
      <c r="C132" s="49">
        <f>IF(D94="","-",+C131+1)</f>
        <v>2046</v>
      </c>
      <c r="D132" s="11">
        <f>IF(F131+SUM(E$100:E131)=D$93,F131,D$93-SUM(E$100:E131))</f>
        <v>0</v>
      </c>
      <c r="E132" s="447">
        <f t="shared" si="60"/>
        <v>0</v>
      </c>
      <c r="F132" s="54">
        <f t="shared" si="61"/>
        <v>0</v>
      </c>
      <c r="G132" s="54">
        <f t="shared" si="62"/>
        <v>0</v>
      </c>
      <c r="H132" s="459">
        <f t="shared" si="63"/>
        <v>0</v>
      </c>
      <c r="I132" s="448">
        <f t="shared" si="64"/>
        <v>0</v>
      </c>
      <c r="J132" s="53">
        <f t="shared" si="41"/>
        <v>0</v>
      </c>
      <c r="K132" s="53"/>
      <c r="L132" s="112"/>
      <c r="M132" s="53">
        <f t="shared" ref="M132:M155" si="65">IF(L542&lt;&gt;0,+H542-L542,0)</f>
        <v>0</v>
      </c>
      <c r="N132" s="112"/>
      <c r="O132" s="53">
        <f t="shared" ref="O132:O155" si="66">IF(N542&lt;&gt;0,+I542-N542,0)</f>
        <v>0</v>
      </c>
      <c r="P132" s="53">
        <f t="shared" ref="P132:P155" si="67">+O542-M542</f>
        <v>0</v>
      </c>
      <c r="Q132" s="1"/>
      <c r="R132" s="1"/>
      <c r="S132" s="1"/>
      <c r="T132" s="1"/>
      <c r="U132" s="1"/>
    </row>
    <row r="133" spans="2:21">
      <c r="B133" t="str">
        <f t="shared" si="40"/>
        <v/>
      </c>
      <c r="C133" s="49">
        <f>IF(D94="","-",+C132+1)</f>
        <v>2047</v>
      </c>
      <c r="D133" s="11">
        <f>IF(F132+SUM(E$100:E132)=D$93,F132,D$93-SUM(E$100:E132))</f>
        <v>0</v>
      </c>
      <c r="E133" s="447">
        <f t="shared" si="60"/>
        <v>0</v>
      </c>
      <c r="F133" s="54">
        <f t="shared" si="61"/>
        <v>0</v>
      </c>
      <c r="G133" s="54">
        <f t="shared" si="62"/>
        <v>0</v>
      </c>
      <c r="H133" s="459">
        <f t="shared" si="63"/>
        <v>0</v>
      </c>
      <c r="I133" s="448">
        <f t="shared" si="64"/>
        <v>0</v>
      </c>
      <c r="J133" s="53">
        <f t="shared" si="41"/>
        <v>0</v>
      </c>
      <c r="K133" s="53"/>
      <c r="L133" s="112"/>
      <c r="M133" s="53">
        <f t="shared" si="65"/>
        <v>0</v>
      </c>
      <c r="N133" s="112"/>
      <c r="O133" s="53">
        <f t="shared" si="66"/>
        <v>0</v>
      </c>
      <c r="P133" s="53">
        <f t="shared" si="67"/>
        <v>0</v>
      </c>
      <c r="Q133" s="1"/>
      <c r="R133" s="1"/>
      <c r="S133" s="1"/>
      <c r="T133" s="1"/>
      <c r="U133" s="1"/>
    </row>
    <row r="134" spans="2:21">
      <c r="B134" t="str">
        <f t="shared" si="40"/>
        <v/>
      </c>
      <c r="C134" s="49">
        <f>IF(D94="","-",+C133+1)</f>
        <v>2048</v>
      </c>
      <c r="D134" s="11">
        <f>IF(F133+SUM(E$100:E133)=D$93,F133,D$93-SUM(E$100:E133))</f>
        <v>0</v>
      </c>
      <c r="E134" s="447">
        <f t="shared" si="60"/>
        <v>0</v>
      </c>
      <c r="F134" s="54">
        <f t="shared" si="61"/>
        <v>0</v>
      </c>
      <c r="G134" s="54">
        <f t="shared" si="62"/>
        <v>0</v>
      </c>
      <c r="H134" s="459">
        <f t="shared" si="63"/>
        <v>0</v>
      </c>
      <c r="I134" s="448">
        <f t="shared" si="64"/>
        <v>0</v>
      </c>
      <c r="J134" s="53">
        <f t="shared" si="41"/>
        <v>0</v>
      </c>
      <c r="K134" s="53"/>
      <c r="L134" s="112"/>
      <c r="M134" s="53">
        <f t="shared" si="65"/>
        <v>0</v>
      </c>
      <c r="N134" s="112"/>
      <c r="O134" s="53">
        <f t="shared" si="66"/>
        <v>0</v>
      </c>
      <c r="P134" s="53">
        <f t="shared" si="67"/>
        <v>0</v>
      </c>
      <c r="Q134" s="1"/>
      <c r="R134" s="1"/>
      <c r="S134" s="1"/>
      <c r="T134" s="1"/>
      <c r="U134" s="1"/>
    </row>
    <row r="135" spans="2:21">
      <c r="B135" t="str">
        <f t="shared" si="40"/>
        <v/>
      </c>
      <c r="C135" s="49">
        <f>IF(D94="","-",+C134+1)</f>
        <v>2049</v>
      </c>
      <c r="D135" s="11">
        <f>IF(F134+SUM(E$100:E134)=D$93,F134,D$93-SUM(E$100:E134))</f>
        <v>0</v>
      </c>
      <c r="E135" s="447">
        <f t="shared" si="60"/>
        <v>0</v>
      </c>
      <c r="F135" s="54">
        <f t="shared" si="61"/>
        <v>0</v>
      </c>
      <c r="G135" s="54">
        <f t="shared" si="62"/>
        <v>0</v>
      </c>
      <c r="H135" s="459">
        <f t="shared" si="63"/>
        <v>0</v>
      </c>
      <c r="I135" s="448">
        <f t="shared" si="64"/>
        <v>0</v>
      </c>
      <c r="J135" s="53">
        <f t="shared" si="41"/>
        <v>0</v>
      </c>
      <c r="K135" s="53"/>
      <c r="L135" s="112"/>
      <c r="M135" s="53">
        <f t="shared" si="65"/>
        <v>0</v>
      </c>
      <c r="N135" s="112"/>
      <c r="O135" s="53">
        <f t="shared" si="66"/>
        <v>0</v>
      </c>
      <c r="P135" s="53">
        <f t="shared" si="67"/>
        <v>0</v>
      </c>
      <c r="Q135" s="1"/>
      <c r="R135" s="1"/>
      <c r="S135" s="1"/>
      <c r="T135" s="1"/>
      <c r="U135" s="1"/>
    </row>
    <row r="136" spans="2:21">
      <c r="B136" t="str">
        <f t="shared" si="40"/>
        <v/>
      </c>
      <c r="C136" s="49">
        <f>IF(D94="","-",+C135+1)</f>
        <v>2050</v>
      </c>
      <c r="D136" s="11">
        <f>IF(F135+SUM(E$100:E135)=D$93,F135,D$93-SUM(E$100:E135))</f>
        <v>0</v>
      </c>
      <c r="E136" s="447">
        <f t="shared" si="60"/>
        <v>0</v>
      </c>
      <c r="F136" s="54">
        <f t="shared" si="61"/>
        <v>0</v>
      </c>
      <c r="G136" s="54">
        <f t="shared" si="62"/>
        <v>0</v>
      </c>
      <c r="H136" s="459">
        <f t="shared" si="63"/>
        <v>0</v>
      </c>
      <c r="I136" s="448">
        <f t="shared" si="64"/>
        <v>0</v>
      </c>
      <c r="J136" s="53">
        <f t="shared" si="41"/>
        <v>0</v>
      </c>
      <c r="K136" s="53"/>
      <c r="L136" s="112"/>
      <c r="M136" s="53">
        <f t="shared" si="65"/>
        <v>0</v>
      </c>
      <c r="N136" s="112"/>
      <c r="O136" s="53">
        <f t="shared" si="66"/>
        <v>0</v>
      </c>
      <c r="P136" s="53">
        <f t="shared" si="67"/>
        <v>0</v>
      </c>
      <c r="Q136" s="1"/>
      <c r="R136" s="1"/>
      <c r="S136" s="1"/>
      <c r="T136" s="1"/>
      <c r="U136" s="1"/>
    </row>
    <row r="137" spans="2:21">
      <c r="B137" t="str">
        <f t="shared" si="40"/>
        <v/>
      </c>
      <c r="C137" s="49">
        <f>IF(D94="","-",+C136+1)</f>
        <v>2051</v>
      </c>
      <c r="D137" s="11">
        <f>IF(F136+SUM(E$100:E136)=D$93,F136,D$93-SUM(E$100:E136))</f>
        <v>0</v>
      </c>
      <c r="E137" s="447">
        <f t="shared" si="60"/>
        <v>0</v>
      </c>
      <c r="F137" s="54">
        <f t="shared" si="61"/>
        <v>0</v>
      </c>
      <c r="G137" s="54">
        <f t="shared" si="62"/>
        <v>0</v>
      </c>
      <c r="H137" s="459">
        <f t="shared" si="63"/>
        <v>0</v>
      </c>
      <c r="I137" s="448">
        <f t="shared" si="64"/>
        <v>0</v>
      </c>
      <c r="J137" s="53">
        <f t="shared" si="41"/>
        <v>0</v>
      </c>
      <c r="K137" s="53"/>
      <c r="L137" s="112"/>
      <c r="M137" s="53">
        <f t="shared" si="65"/>
        <v>0</v>
      </c>
      <c r="N137" s="112"/>
      <c r="O137" s="53">
        <f t="shared" si="66"/>
        <v>0</v>
      </c>
      <c r="P137" s="53">
        <f t="shared" si="67"/>
        <v>0</v>
      </c>
      <c r="Q137" s="1"/>
      <c r="R137" s="1"/>
      <c r="S137" s="1"/>
      <c r="T137" s="1"/>
      <c r="U137" s="1"/>
    </row>
    <row r="138" spans="2:21">
      <c r="B138" t="str">
        <f t="shared" si="40"/>
        <v/>
      </c>
      <c r="C138" s="49">
        <f>IF(D94="","-",+C137+1)</f>
        <v>2052</v>
      </c>
      <c r="D138" s="11">
        <f>IF(F137+SUM(E$100:E137)=D$93,F137,D$93-SUM(E$100:E137))</f>
        <v>0</v>
      </c>
      <c r="E138" s="447">
        <f t="shared" si="60"/>
        <v>0</v>
      </c>
      <c r="F138" s="54">
        <f t="shared" si="61"/>
        <v>0</v>
      </c>
      <c r="G138" s="54">
        <f t="shared" si="62"/>
        <v>0</v>
      </c>
      <c r="H138" s="459">
        <f t="shared" si="63"/>
        <v>0</v>
      </c>
      <c r="I138" s="448">
        <f t="shared" si="64"/>
        <v>0</v>
      </c>
      <c r="J138" s="53">
        <f t="shared" si="41"/>
        <v>0</v>
      </c>
      <c r="K138" s="53"/>
      <c r="L138" s="112"/>
      <c r="M138" s="53">
        <f t="shared" si="65"/>
        <v>0</v>
      </c>
      <c r="N138" s="112"/>
      <c r="O138" s="53">
        <f t="shared" si="66"/>
        <v>0</v>
      </c>
      <c r="P138" s="53">
        <f t="shared" si="67"/>
        <v>0</v>
      </c>
      <c r="Q138" s="1"/>
      <c r="R138" s="1"/>
      <c r="S138" s="1"/>
      <c r="T138" s="1"/>
      <c r="U138" s="1"/>
    </row>
    <row r="139" spans="2:21">
      <c r="B139" t="str">
        <f t="shared" si="40"/>
        <v/>
      </c>
      <c r="C139" s="49">
        <f>IF(D94="","-",+C138+1)</f>
        <v>2053</v>
      </c>
      <c r="D139" s="11">
        <f>IF(F138+SUM(E$100:E138)=D$93,F138,D$93-SUM(E$100:E138))</f>
        <v>0</v>
      </c>
      <c r="E139" s="447">
        <f t="shared" si="60"/>
        <v>0</v>
      </c>
      <c r="F139" s="54">
        <f t="shared" si="61"/>
        <v>0</v>
      </c>
      <c r="G139" s="54">
        <f t="shared" si="62"/>
        <v>0</v>
      </c>
      <c r="H139" s="459">
        <f t="shared" si="63"/>
        <v>0</v>
      </c>
      <c r="I139" s="448">
        <f t="shared" si="64"/>
        <v>0</v>
      </c>
      <c r="J139" s="53">
        <f t="shared" si="41"/>
        <v>0</v>
      </c>
      <c r="K139" s="53"/>
      <c r="L139" s="112"/>
      <c r="M139" s="53">
        <f t="shared" si="65"/>
        <v>0</v>
      </c>
      <c r="N139" s="112"/>
      <c r="O139" s="53">
        <f t="shared" si="66"/>
        <v>0</v>
      </c>
      <c r="P139" s="53">
        <f t="shared" si="67"/>
        <v>0</v>
      </c>
      <c r="Q139" s="1"/>
      <c r="R139" s="1"/>
      <c r="S139" s="1"/>
      <c r="T139" s="1"/>
      <c r="U139" s="1"/>
    </row>
    <row r="140" spans="2:21">
      <c r="B140" t="str">
        <f t="shared" si="40"/>
        <v/>
      </c>
      <c r="C140" s="49">
        <f>IF(D94="","-",+C139+1)</f>
        <v>2054</v>
      </c>
      <c r="D140" s="11">
        <f>IF(F139+SUM(E$100:E139)=D$93,F139,D$93-SUM(E$100:E139))</f>
        <v>0</v>
      </c>
      <c r="E140" s="447">
        <f t="shared" si="60"/>
        <v>0</v>
      </c>
      <c r="F140" s="54">
        <f t="shared" si="61"/>
        <v>0</v>
      </c>
      <c r="G140" s="54">
        <f t="shared" si="62"/>
        <v>0</v>
      </c>
      <c r="H140" s="459">
        <f t="shared" si="63"/>
        <v>0</v>
      </c>
      <c r="I140" s="448">
        <f t="shared" si="64"/>
        <v>0</v>
      </c>
      <c r="J140" s="53">
        <f t="shared" si="41"/>
        <v>0</v>
      </c>
      <c r="K140" s="53"/>
      <c r="L140" s="112"/>
      <c r="M140" s="53">
        <f t="shared" si="65"/>
        <v>0</v>
      </c>
      <c r="N140" s="112"/>
      <c r="O140" s="53">
        <f t="shared" si="66"/>
        <v>0</v>
      </c>
      <c r="P140" s="53">
        <f t="shared" si="67"/>
        <v>0</v>
      </c>
      <c r="Q140" s="1"/>
      <c r="R140" s="1"/>
      <c r="S140" s="1"/>
      <c r="T140" s="1"/>
      <c r="U140" s="1"/>
    </row>
    <row r="141" spans="2:21">
      <c r="B141" t="str">
        <f t="shared" si="40"/>
        <v/>
      </c>
      <c r="C141" s="49">
        <f>IF(D94="","-",+C140+1)</f>
        <v>2055</v>
      </c>
      <c r="D141" s="11">
        <f>IF(F140+SUM(E$100:E140)=D$93,F140,D$93-SUM(E$100:E140))</f>
        <v>0</v>
      </c>
      <c r="E141" s="447">
        <f t="shared" si="60"/>
        <v>0</v>
      </c>
      <c r="F141" s="54">
        <f t="shared" si="61"/>
        <v>0</v>
      </c>
      <c r="G141" s="54">
        <f t="shared" si="62"/>
        <v>0</v>
      </c>
      <c r="H141" s="459">
        <f t="shared" si="63"/>
        <v>0</v>
      </c>
      <c r="I141" s="448">
        <f t="shared" si="64"/>
        <v>0</v>
      </c>
      <c r="J141" s="53">
        <f t="shared" si="41"/>
        <v>0</v>
      </c>
      <c r="K141" s="53"/>
      <c r="L141" s="112"/>
      <c r="M141" s="53">
        <f t="shared" si="65"/>
        <v>0</v>
      </c>
      <c r="N141" s="112"/>
      <c r="O141" s="53">
        <f t="shared" si="66"/>
        <v>0</v>
      </c>
      <c r="P141" s="53">
        <f t="shared" si="67"/>
        <v>0</v>
      </c>
      <c r="Q141" s="1"/>
      <c r="R141" s="1"/>
      <c r="S141" s="1"/>
      <c r="T141" s="1"/>
      <c r="U141" s="1"/>
    </row>
    <row r="142" spans="2:21">
      <c r="B142" t="str">
        <f t="shared" si="40"/>
        <v/>
      </c>
      <c r="C142" s="49">
        <f>IF(D94="","-",+C141+1)</f>
        <v>2056</v>
      </c>
      <c r="D142" s="11">
        <f>IF(F141+SUM(E$100:E141)=D$93,F141,D$93-SUM(E$100:E141))</f>
        <v>0</v>
      </c>
      <c r="E142" s="447">
        <f t="shared" si="60"/>
        <v>0</v>
      </c>
      <c r="F142" s="54">
        <f t="shared" si="61"/>
        <v>0</v>
      </c>
      <c r="G142" s="54">
        <f t="shared" si="62"/>
        <v>0</v>
      </c>
      <c r="H142" s="459">
        <f t="shared" si="63"/>
        <v>0</v>
      </c>
      <c r="I142" s="448">
        <f t="shared" si="64"/>
        <v>0</v>
      </c>
      <c r="J142" s="53">
        <f t="shared" si="41"/>
        <v>0</v>
      </c>
      <c r="K142" s="53"/>
      <c r="L142" s="112"/>
      <c r="M142" s="53">
        <f t="shared" si="65"/>
        <v>0</v>
      </c>
      <c r="N142" s="112"/>
      <c r="O142" s="53">
        <f t="shared" si="66"/>
        <v>0</v>
      </c>
      <c r="P142" s="53">
        <f t="shared" si="67"/>
        <v>0</v>
      </c>
      <c r="Q142" s="1"/>
      <c r="R142" s="1"/>
      <c r="S142" s="1"/>
      <c r="T142" s="1"/>
      <c r="U142" s="1"/>
    </row>
    <row r="143" spans="2:21">
      <c r="B143" t="str">
        <f t="shared" si="40"/>
        <v/>
      </c>
      <c r="C143" s="49">
        <f>IF(D94="","-",+C142+1)</f>
        <v>2057</v>
      </c>
      <c r="D143" s="11">
        <f>IF(F142+SUM(E$100:E142)=D$93,F142,D$93-SUM(E$100:E142))</f>
        <v>0</v>
      </c>
      <c r="E143" s="447">
        <f t="shared" si="60"/>
        <v>0</v>
      </c>
      <c r="F143" s="54">
        <f t="shared" si="61"/>
        <v>0</v>
      </c>
      <c r="G143" s="54">
        <f t="shared" si="62"/>
        <v>0</v>
      </c>
      <c r="H143" s="459">
        <f t="shared" si="63"/>
        <v>0</v>
      </c>
      <c r="I143" s="448">
        <f t="shared" si="64"/>
        <v>0</v>
      </c>
      <c r="J143" s="53">
        <f t="shared" si="41"/>
        <v>0</v>
      </c>
      <c r="K143" s="53"/>
      <c r="L143" s="112"/>
      <c r="M143" s="53">
        <f t="shared" si="65"/>
        <v>0</v>
      </c>
      <c r="N143" s="112"/>
      <c r="O143" s="53">
        <f t="shared" si="66"/>
        <v>0</v>
      </c>
      <c r="P143" s="53">
        <f t="shared" si="67"/>
        <v>0</v>
      </c>
      <c r="Q143" s="1"/>
      <c r="R143" s="1"/>
      <c r="S143" s="1"/>
      <c r="T143" s="1"/>
      <c r="U143" s="1"/>
    </row>
    <row r="144" spans="2:21">
      <c r="B144" t="str">
        <f t="shared" si="40"/>
        <v/>
      </c>
      <c r="C144" s="49">
        <f>IF(D94="","-",+C143+1)</f>
        <v>2058</v>
      </c>
      <c r="D144" s="11">
        <f>IF(F143+SUM(E$100:E143)=D$93,F143,D$93-SUM(E$100:E143))</f>
        <v>0</v>
      </c>
      <c r="E144" s="447">
        <f t="shared" si="60"/>
        <v>0</v>
      </c>
      <c r="F144" s="54">
        <f t="shared" si="61"/>
        <v>0</v>
      </c>
      <c r="G144" s="54">
        <f t="shared" si="62"/>
        <v>0</v>
      </c>
      <c r="H144" s="459">
        <f t="shared" si="63"/>
        <v>0</v>
      </c>
      <c r="I144" s="448">
        <f t="shared" si="64"/>
        <v>0</v>
      </c>
      <c r="J144" s="53">
        <f t="shared" si="41"/>
        <v>0</v>
      </c>
      <c r="K144" s="53"/>
      <c r="L144" s="112"/>
      <c r="M144" s="53">
        <f t="shared" si="65"/>
        <v>0</v>
      </c>
      <c r="N144" s="112"/>
      <c r="O144" s="53">
        <f t="shared" si="66"/>
        <v>0</v>
      </c>
      <c r="P144" s="53">
        <f t="shared" si="67"/>
        <v>0</v>
      </c>
      <c r="Q144" s="1"/>
      <c r="R144" s="1"/>
      <c r="S144" s="1"/>
      <c r="T144" s="1"/>
      <c r="U144" s="1"/>
    </row>
    <row r="145" spans="2:21">
      <c r="B145" t="str">
        <f t="shared" si="40"/>
        <v/>
      </c>
      <c r="C145" s="49">
        <f>IF(D94="","-",+C144+1)</f>
        <v>2059</v>
      </c>
      <c r="D145" s="11">
        <f>IF(F144+SUM(E$100:E144)=D$93,F144,D$93-SUM(E$100:E144))</f>
        <v>0</v>
      </c>
      <c r="E145" s="447">
        <f t="shared" si="60"/>
        <v>0</v>
      </c>
      <c r="F145" s="54">
        <f t="shared" si="61"/>
        <v>0</v>
      </c>
      <c r="G145" s="54">
        <f t="shared" si="62"/>
        <v>0</v>
      </c>
      <c r="H145" s="459">
        <f t="shared" si="63"/>
        <v>0</v>
      </c>
      <c r="I145" s="448">
        <f t="shared" si="64"/>
        <v>0</v>
      </c>
      <c r="J145" s="53">
        <f t="shared" si="41"/>
        <v>0</v>
      </c>
      <c r="K145" s="53"/>
      <c r="L145" s="112"/>
      <c r="M145" s="53">
        <f t="shared" si="65"/>
        <v>0</v>
      </c>
      <c r="N145" s="112"/>
      <c r="O145" s="53">
        <f t="shared" si="66"/>
        <v>0</v>
      </c>
      <c r="P145" s="53">
        <f t="shared" si="67"/>
        <v>0</v>
      </c>
      <c r="Q145" s="1"/>
      <c r="R145" s="1"/>
      <c r="S145" s="1"/>
      <c r="T145" s="1"/>
      <c r="U145" s="1"/>
    </row>
    <row r="146" spans="2:21">
      <c r="B146" t="str">
        <f t="shared" si="40"/>
        <v/>
      </c>
      <c r="C146" s="49">
        <f>IF(D94="","-",+C145+1)</f>
        <v>2060</v>
      </c>
      <c r="D146" s="11">
        <f>IF(F145+SUM(E$100:E145)=D$93,F145,D$93-SUM(E$100:E145))</f>
        <v>0</v>
      </c>
      <c r="E146" s="447">
        <f t="shared" si="60"/>
        <v>0</v>
      </c>
      <c r="F146" s="54">
        <f t="shared" si="61"/>
        <v>0</v>
      </c>
      <c r="G146" s="54">
        <f t="shared" si="62"/>
        <v>0</v>
      </c>
      <c r="H146" s="459">
        <f t="shared" si="63"/>
        <v>0</v>
      </c>
      <c r="I146" s="448">
        <f t="shared" si="64"/>
        <v>0</v>
      </c>
      <c r="J146" s="53">
        <f t="shared" si="41"/>
        <v>0</v>
      </c>
      <c r="K146" s="53"/>
      <c r="L146" s="112"/>
      <c r="M146" s="53">
        <f t="shared" si="65"/>
        <v>0</v>
      </c>
      <c r="N146" s="112"/>
      <c r="O146" s="53">
        <f t="shared" si="66"/>
        <v>0</v>
      </c>
      <c r="P146" s="53">
        <f t="shared" si="67"/>
        <v>0</v>
      </c>
      <c r="Q146" s="1"/>
      <c r="R146" s="1"/>
      <c r="S146" s="1"/>
      <c r="T146" s="1"/>
      <c r="U146" s="1"/>
    </row>
    <row r="147" spans="2:21">
      <c r="B147" t="str">
        <f t="shared" si="40"/>
        <v/>
      </c>
      <c r="C147" s="49">
        <f>IF(D94="","-",+C146+1)</f>
        <v>2061</v>
      </c>
      <c r="D147" s="11">
        <f>IF(F146+SUM(E$100:E146)=D$93,F146,D$93-SUM(E$100:E146))</f>
        <v>0</v>
      </c>
      <c r="E147" s="447">
        <f t="shared" si="60"/>
        <v>0</v>
      </c>
      <c r="F147" s="54">
        <f t="shared" si="61"/>
        <v>0</v>
      </c>
      <c r="G147" s="54">
        <f t="shared" si="62"/>
        <v>0</v>
      </c>
      <c r="H147" s="459">
        <f t="shared" si="63"/>
        <v>0</v>
      </c>
      <c r="I147" s="448">
        <f t="shared" si="64"/>
        <v>0</v>
      </c>
      <c r="J147" s="53">
        <f t="shared" si="41"/>
        <v>0</v>
      </c>
      <c r="K147" s="53"/>
      <c r="L147" s="112"/>
      <c r="M147" s="53">
        <f t="shared" si="65"/>
        <v>0</v>
      </c>
      <c r="N147" s="112"/>
      <c r="O147" s="53">
        <f t="shared" si="66"/>
        <v>0</v>
      </c>
      <c r="P147" s="53">
        <f t="shared" si="67"/>
        <v>0</v>
      </c>
      <c r="Q147" s="1"/>
      <c r="R147" s="1"/>
      <c r="S147" s="1"/>
      <c r="T147" s="1"/>
      <c r="U147" s="1"/>
    </row>
    <row r="148" spans="2:21">
      <c r="B148" t="str">
        <f t="shared" si="40"/>
        <v/>
      </c>
      <c r="C148" s="49">
        <f>IF(D94="","-",+C147+1)</f>
        <v>2062</v>
      </c>
      <c r="D148" s="11">
        <f>IF(F147+SUM(E$100:E147)=D$93,F147,D$93-SUM(E$100:E147))</f>
        <v>0</v>
      </c>
      <c r="E148" s="447">
        <f t="shared" si="60"/>
        <v>0</v>
      </c>
      <c r="F148" s="54">
        <f t="shared" si="61"/>
        <v>0</v>
      </c>
      <c r="G148" s="54">
        <f t="shared" si="62"/>
        <v>0</v>
      </c>
      <c r="H148" s="459">
        <f t="shared" si="63"/>
        <v>0</v>
      </c>
      <c r="I148" s="448">
        <f t="shared" si="64"/>
        <v>0</v>
      </c>
      <c r="J148" s="53">
        <f t="shared" si="41"/>
        <v>0</v>
      </c>
      <c r="K148" s="53"/>
      <c r="L148" s="112"/>
      <c r="M148" s="53">
        <f t="shared" si="65"/>
        <v>0</v>
      </c>
      <c r="N148" s="112"/>
      <c r="O148" s="53">
        <f t="shared" si="66"/>
        <v>0</v>
      </c>
      <c r="P148" s="53">
        <f t="shared" si="67"/>
        <v>0</v>
      </c>
      <c r="Q148" s="1"/>
      <c r="R148" s="1"/>
      <c r="S148" s="1"/>
      <c r="T148" s="1"/>
      <c r="U148" s="1"/>
    </row>
    <row r="149" spans="2:21">
      <c r="B149" t="str">
        <f t="shared" si="40"/>
        <v/>
      </c>
      <c r="C149" s="49">
        <f>IF(D94="","-",+C148+1)</f>
        <v>2063</v>
      </c>
      <c r="D149" s="11">
        <f>IF(F148+SUM(E$100:E148)=D$93,F148,D$93-SUM(E$100:E148))</f>
        <v>0</v>
      </c>
      <c r="E149" s="447">
        <f t="shared" si="60"/>
        <v>0</v>
      </c>
      <c r="F149" s="54">
        <f t="shared" si="61"/>
        <v>0</v>
      </c>
      <c r="G149" s="54">
        <f t="shared" si="62"/>
        <v>0</v>
      </c>
      <c r="H149" s="459">
        <f t="shared" si="63"/>
        <v>0</v>
      </c>
      <c r="I149" s="448">
        <f t="shared" si="64"/>
        <v>0</v>
      </c>
      <c r="J149" s="53">
        <f t="shared" si="41"/>
        <v>0</v>
      </c>
      <c r="K149" s="53"/>
      <c r="L149" s="112"/>
      <c r="M149" s="53">
        <f t="shared" si="65"/>
        <v>0</v>
      </c>
      <c r="N149" s="112"/>
      <c r="O149" s="53">
        <f t="shared" si="66"/>
        <v>0</v>
      </c>
      <c r="P149" s="53">
        <f t="shared" si="67"/>
        <v>0</v>
      </c>
      <c r="Q149" s="1"/>
      <c r="R149" s="1"/>
      <c r="S149" s="1"/>
      <c r="T149" s="1"/>
      <c r="U149" s="1"/>
    </row>
    <row r="150" spans="2:21">
      <c r="B150" t="str">
        <f t="shared" si="40"/>
        <v/>
      </c>
      <c r="C150" s="49">
        <f>IF(D94="","-",+C149+1)</f>
        <v>2064</v>
      </c>
      <c r="D150" s="11">
        <f>IF(F149+SUM(E$100:E149)=D$93,F149,D$93-SUM(E$100:E149))</f>
        <v>0</v>
      </c>
      <c r="E150" s="447">
        <f t="shared" si="60"/>
        <v>0</v>
      </c>
      <c r="F150" s="54">
        <f t="shared" si="61"/>
        <v>0</v>
      </c>
      <c r="G150" s="54">
        <f t="shared" si="62"/>
        <v>0</v>
      </c>
      <c r="H150" s="459">
        <f t="shared" si="63"/>
        <v>0</v>
      </c>
      <c r="I150" s="448">
        <f t="shared" si="64"/>
        <v>0</v>
      </c>
      <c r="J150" s="53">
        <f t="shared" si="41"/>
        <v>0</v>
      </c>
      <c r="K150" s="53"/>
      <c r="L150" s="112"/>
      <c r="M150" s="53">
        <f t="shared" si="65"/>
        <v>0</v>
      </c>
      <c r="N150" s="112"/>
      <c r="O150" s="53">
        <f t="shared" si="66"/>
        <v>0</v>
      </c>
      <c r="P150" s="53">
        <f t="shared" si="67"/>
        <v>0</v>
      </c>
      <c r="Q150" s="1"/>
      <c r="R150" s="1"/>
      <c r="S150" s="1"/>
      <c r="T150" s="1"/>
      <c r="U150" s="1"/>
    </row>
    <row r="151" spans="2:21">
      <c r="B151" t="str">
        <f t="shared" si="40"/>
        <v/>
      </c>
      <c r="C151" s="49">
        <f>IF(D94="","-",+C150+1)</f>
        <v>2065</v>
      </c>
      <c r="D151" s="11">
        <f>IF(F150+SUM(E$100:E150)=D$93,F150,D$93-SUM(E$100:E150))</f>
        <v>0</v>
      </c>
      <c r="E151" s="447">
        <f t="shared" si="60"/>
        <v>0</v>
      </c>
      <c r="F151" s="54">
        <f t="shared" si="61"/>
        <v>0</v>
      </c>
      <c r="G151" s="54">
        <f t="shared" si="62"/>
        <v>0</v>
      </c>
      <c r="H151" s="459">
        <f t="shared" si="63"/>
        <v>0</v>
      </c>
      <c r="I151" s="448">
        <f t="shared" si="64"/>
        <v>0</v>
      </c>
      <c r="J151" s="53">
        <f t="shared" si="41"/>
        <v>0</v>
      </c>
      <c r="K151" s="53"/>
      <c r="L151" s="112"/>
      <c r="M151" s="53">
        <f t="shared" si="65"/>
        <v>0</v>
      </c>
      <c r="N151" s="112"/>
      <c r="O151" s="53">
        <f t="shared" si="66"/>
        <v>0</v>
      </c>
      <c r="P151" s="53">
        <f t="shared" si="67"/>
        <v>0</v>
      </c>
      <c r="Q151" s="1"/>
      <c r="R151" s="1"/>
      <c r="S151" s="1"/>
      <c r="T151" s="1"/>
      <c r="U151" s="1"/>
    </row>
    <row r="152" spans="2:21">
      <c r="B152" t="str">
        <f t="shared" si="40"/>
        <v/>
      </c>
      <c r="C152" s="49">
        <f>IF(D94="","-",+C151+1)</f>
        <v>2066</v>
      </c>
      <c r="D152" s="11">
        <f>IF(F151+SUM(E$100:E151)=D$93,F151,D$93-SUM(E$100:E151))</f>
        <v>0</v>
      </c>
      <c r="E152" s="447">
        <f t="shared" si="60"/>
        <v>0</v>
      </c>
      <c r="F152" s="54">
        <f t="shared" si="61"/>
        <v>0</v>
      </c>
      <c r="G152" s="54">
        <f t="shared" si="62"/>
        <v>0</v>
      </c>
      <c r="H152" s="459">
        <f t="shared" si="63"/>
        <v>0</v>
      </c>
      <c r="I152" s="448">
        <f t="shared" si="64"/>
        <v>0</v>
      </c>
      <c r="J152" s="53">
        <f t="shared" si="41"/>
        <v>0</v>
      </c>
      <c r="K152" s="53"/>
      <c r="L152" s="112"/>
      <c r="M152" s="53">
        <f t="shared" si="65"/>
        <v>0</v>
      </c>
      <c r="N152" s="112"/>
      <c r="O152" s="53">
        <f t="shared" si="66"/>
        <v>0</v>
      </c>
      <c r="P152" s="53">
        <f t="shared" si="67"/>
        <v>0</v>
      </c>
      <c r="Q152" s="1"/>
      <c r="R152" s="1"/>
      <c r="S152" s="1"/>
      <c r="T152" s="1"/>
      <c r="U152" s="1"/>
    </row>
    <row r="153" spans="2:21">
      <c r="B153" t="str">
        <f t="shared" si="40"/>
        <v/>
      </c>
      <c r="C153" s="49">
        <f>IF(D94="","-",+C152+1)</f>
        <v>2067</v>
      </c>
      <c r="D153" s="11">
        <f>IF(F152+SUM(E$100:E152)=D$93,F152,D$93-SUM(E$100:E152))</f>
        <v>0</v>
      </c>
      <c r="E153" s="447">
        <f t="shared" si="60"/>
        <v>0</v>
      </c>
      <c r="F153" s="54">
        <f t="shared" si="61"/>
        <v>0</v>
      </c>
      <c r="G153" s="54">
        <f t="shared" si="62"/>
        <v>0</v>
      </c>
      <c r="H153" s="459">
        <f t="shared" si="63"/>
        <v>0</v>
      </c>
      <c r="I153" s="448">
        <f t="shared" si="64"/>
        <v>0</v>
      </c>
      <c r="J153" s="53">
        <f t="shared" si="41"/>
        <v>0</v>
      </c>
      <c r="K153" s="53"/>
      <c r="L153" s="112"/>
      <c r="M153" s="53">
        <f t="shared" si="65"/>
        <v>0</v>
      </c>
      <c r="N153" s="112"/>
      <c r="O153" s="53">
        <f t="shared" si="66"/>
        <v>0</v>
      </c>
      <c r="P153" s="53">
        <f t="shared" si="67"/>
        <v>0</v>
      </c>
      <c r="Q153" s="1"/>
      <c r="R153" s="1"/>
      <c r="S153" s="1"/>
      <c r="T153" s="1"/>
      <c r="U153" s="1"/>
    </row>
    <row r="154" spans="2:21">
      <c r="B154" t="str">
        <f t="shared" si="40"/>
        <v/>
      </c>
      <c r="C154" s="49">
        <f>IF(D94="","-",+C153+1)</f>
        <v>2068</v>
      </c>
      <c r="D154" s="11">
        <f>IF(F153+SUM(E$100:E153)=D$93,F153,D$93-SUM(E$100:E153))</f>
        <v>0</v>
      </c>
      <c r="E154" s="447">
        <f t="shared" si="60"/>
        <v>0</v>
      </c>
      <c r="F154" s="54">
        <f t="shared" si="61"/>
        <v>0</v>
      </c>
      <c r="G154" s="54">
        <f t="shared" si="62"/>
        <v>0</v>
      </c>
      <c r="H154" s="459">
        <f t="shared" si="63"/>
        <v>0</v>
      </c>
      <c r="I154" s="448">
        <f t="shared" si="64"/>
        <v>0</v>
      </c>
      <c r="J154" s="53">
        <f t="shared" si="41"/>
        <v>0</v>
      </c>
      <c r="K154" s="53"/>
      <c r="L154" s="112"/>
      <c r="M154" s="53">
        <f t="shared" si="65"/>
        <v>0</v>
      </c>
      <c r="N154" s="112"/>
      <c r="O154" s="53">
        <f t="shared" si="66"/>
        <v>0</v>
      </c>
      <c r="P154" s="53">
        <f t="shared" si="67"/>
        <v>0</v>
      </c>
      <c r="Q154" s="1"/>
      <c r="R154" s="1"/>
      <c r="S154" s="1"/>
      <c r="T154" s="1"/>
      <c r="U154" s="1"/>
    </row>
    <row r="155" spans="2:21" ht="13.5" thickBot="1">
      <c r="B155" t="str">
        <f t="shared" si="40"/>
        <v/>
      </c>
      <c r="C155" s="58">
        <f>IF(D94="","-",+C154+1)</f>
        <v>2069</v>
      </c>
      <c r="D155" s="439">
        <f>IF(F154+SUM(E$100:E154)=D$93,F154,D$93-SUM(E$100:E154))</f>
        <v>0</v>
      </c>
      <c r="E155" s="449">
        <f t="shared" si="60"/>
        <v>0</v>
      </c>
      <c r="F155" s="59">
        <f t="shared" si="61"/>
        <v>0</v>
      </c>
      <c r="G155" s="59">
        <f t="shared" si="62"/>
        <v>0</v>
      </c>
      <c r="H155" s="459">
        <f t="shared" si="63"/>
        <v>0</v>
      </c>
      <c r="I155" s="450">
        <f t="shared" si="64"/>
        <v>0</v>
      </c>
      <c r="J155" s="63">
        <f t="shared" si="41"/>
        <v>0</v>
      </c>
      <c r="K155" s="53"/>
      <c r="L155" s="113"/>
      <c r="M155" s="63">
        <f t="shared" si="65"/>
        <v>0</v>
      </c>
      <c r="N155" s="113"/>
      <c r="O155" s="63">
        <f t="shared" si="66"/>
        <v>0</v>
      </c>
      <c r="P155" s="63">
        <f t="shared" si="67"/>
        <v>0</v>
      </c>
      <c r="Q155" s="1"/>
      <c r="R155" s="1"/>
      <c r="S155" s="1"/>
      <c r="T155" s="1"/>
      <c r="U155" s="1"/>
    </row>
    <row r="156" spans="2:21">
      <c r="C156" s="11" t="s">
        <v>75</v>
      </c>
      <c r="D156" s="242"/>
      <c r="E156" s="242">
        <f>SUM(E100:E155)</f>
        <v>13254469.999999998</v>
      </c>
      <c r="F156" s="242"/>
      <c r="G156" s="242"/>
      <c r="H156" s="242">
        <f>SUM(H100:H155)</f>
        <v>35703589.047424018</v>
      </c>
      <c r="I156" s="242">
        <f>SUM(I100:I155)</f>
        <v>35703589.047424018</v>
      </c>
      <c r="J156" s="242">
        <f>SUM(J100:J155)</f>
        <v>0</v>
      </c>
      <c r="K156" s="242"/>
      <c r="L156" s="242"/>
      <c r="M156" s="242"/>
      <c r="N156" s="242"/>
      <c r="O156" s="242"/>
      <c r="P156" s="1"/>
      <c r="Q156" s="1"/>
      <c r="R156" s="1"/>
      <c r="S156" s="1"/>
      <c r="T156" s="1"/>
      <c r="U156" s="1"/>
    </row>
    <row r="157" spans="2:21">
      <c r="C157" t="s">
        <v>90</v>
      </c>
      <c r="D157" s="2"/>
      <c r="E157" s="1"/>
      <c r="F157" s="1"/>
      <c r="G157" s="1"/>
      <c r="H157" s="1"/>
      <c r="I157" s="260"/>
      <c r="J157" s="260"/>
      <c r="K157" s="242"/>
      <c r="L157" s="260"/>
      <c r="M157" s="260"/>
      <c r="N157" s="260"/>
      <c r="O157" s="260"/>
      <c r="P157" s="1"/>
      <c r="Q157" s="1"/>
      <c r="R157" s="1"/>
      <c r="S157" s="1"/>
      <c r="T157" s="1"/>
      <c r="U157" s="1"/>
    </row>
    <row r="158" spans="2:21">
      <c r="C158" s="83"/>
      <c r="D158" s="2"/>
      <c r="E158" s="1"/>
      <c r="F158" s="1"/>
      <c r="G158" s="1"/>
      <c r="H158" s="1"/>
      <c r="I158" s="260"/>
      <c r="J158" s="260"/>
      <c r="K158" s="242"/>
      <c r="L158" s="260"/>
      <c r="M158" s="260"/>
      <c r="N158" s="260"/>
      <c r="O158" s="260"/>
      <c r="P158" s="1"/>
      <c r="Q158" s="1"/>
      <c r="R158" s="1"/>
      <c r="S158" s="1"/>
      <c r="T158" s="1"/>
      <c r="U158" s="1"/>
    </row>
    <row r="159" spans="2:21">
      <c r="C159" s="97" t="s">
        <v>130</v>
      </c>
      <c r="D159" s="2"/>
      <c r="E159" s="1"/>
      <c r="F159" s="1"/>
      <c r="G159" s="1"/>
      <c r="H159" s="1"/>
      <c r="I159" s="260"/>
      <c r="J159" s="260"/>
      <c r="K159" s="242"/>
      <c r="L159" s="260"/>
      <c r="M159" s="260"/>
      <c r="N159" s="260"/>
      <c r="O159" s="260"/>
      <c r="P159" s="1"/>
      <c r="Q159" s="1"/>
      <c r="R159" s="1"/>
      <c r="S159" s="1"/>
      <c r="T159" s="1"/>
      <c r="U159" s="1"/>
    </row>
    <row r="160" spans="2:21">
      <c r="C160" s="25" t="s">
        <v>76</v>
      </c>
      <c r="D160" s="11"/>
      <c r="E160" s="11"/>
      <c r="F160" s="11"/>
      <c r="G160" s="11"/>
      <c r="H160" s="242"/>
      <c r="I160" s="242"/>
      <c r="J160" s="64"/>
      <c r="K160" s="64"/>
      <c r="L160" s="64"/>
      <c r="M160" s="64"/>
      <c r="N160" s="64"/>
      <c r="O160" s="64"/>
      <c r="P160" s="1"/>
      <c r="Q160" s="1"/>
      <c r="R160" s="1"/>
      <c r="S160" s="1"/>
      <c r="T160" s="1"/>
      <c r="U160" s="1"/>
    </row>
    <row r="161" spans="3:21">
      <c r="C161" s="84" t="s">
        <v>77</v>
      </c>
      <c r="D161" s="11"/>
      <c r="E161" s="11"/>
      <c r="F161" s="11"/>
      <c r="G161" s="11"/>
      <c r="H161" s="242"/>
      <c r="I161" s="242"/>
      <c r="J161" s="64"/>
      <c r="K161" s="64"/>
      <c r="L161" s="64"/>
      <c r="M161" s="64"/>
      <c r="N161" s="64"/>
      <c r="O161" s="64"/>
      <c r="P161" s="1"/>
      <c r="Q161" s="1"/>
      <c r="R161" s="1"/>
      <c r="S161" s="1"/>
      <c r="T161" s="1"/>
      <c r="U161" s="1"/>
    </row>
    <row r="162" spans="3:21">
      <c r="C162" s="84"/>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31" priority="1" stopIfTrue="1" operator="equal">
      <formula>$I$10</formula>
    </cfRule>
  </conditionalFormatting>
  <conditionalFormatting sqref="C100:C155">
    <cfRule type="cellIs" dxfId="30"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5">
    <tabColor theme="9" tint="0.39997558519241921"/>
  </sheetPr>
  <dimension ref="A1:U163"/>
  <sheetViews>
    <sheetView topLeftCell="A10" zoomScaleNormal="100" zoomScaleSheetLayoutView="78" workbookViewId="0">
      <selection activeCell="D10" sqref="D10"/>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"&amp;RIGHT(MID(CELL("filename",$A$1),FIND("]",CELL("filename",$A$1))+1,256),2)&amp;" of "&amp;COUNT('OKT.001:OKT.xyz - blank'!$P$3)-1</f>
        <v>OKT Project 13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0</v>
      </c>
      <c r="P5" s="1"/>
      <c r="R5" s="1"/>
      <c r="S5" s="1"/>
      <c r="T5" s="1"/>
      <c r="U5" s="1"/>
    </row>
    <row r="6" spans="1:21" ht="15.75">
      <c r="C6" s="452" t="s">
        <v>267</v>
      </c>
      <c r="D6" s="2"/>
      <c r="E6" s="1"/>
      <c r="F6" s="1"/>
      <c r="G6" s="1"/>
      <c r="H6" s="351"/>
      <c r="I6" s="351"/>
      <c r="J6" s="352"/>
      <c r="K6" s="22" t="s">
        <v>243</v>
      </c>
      <c r="L6" s="353"/>
      <c r="M6" s="1"/>
      <c r="N6" s="354">
        <f>VLOOKUP(I10,C17:I73,6)</f>
        <v>0</v>
      </c>
      <c r="O6" s="1"/>
      <c r="P6" s="1"/>
      <c r="R6" s="1"/>
      <c r="S6" s="1"/>
      <c r="T6" s="1"/>
      <c r="U6" s="1"/>
    </row>
    <row r="7" spans="1:21" ht="13.5" thickBot="1">
      <c r="C7" s="25" t="s">
        <v>46</v>
      </c>
      <c r="D7" s="96" t="s">
        <v>231</v>
      </c>
      <c r="E7" s="1"/>
      <c r="F7" s="1"/>
      <c r="G7" s="1"/>
      <c r="H7" s="260"/>
      <c r="I7" s="260"/>
      <c r="J7" s="242"/>
      <c r="K7" s="355" t="s">
        <v>47</v>
      </c>
      <c r="L7" s="356"/>
      <c r="M7" s="356"/>
      <c r="N7" s="357">
        <f>+N6-N5</f>
        <v>0</v>
      </c>
      <c r="O7" s="1"/>
      <c r="P7" s="1"/>
      <c r="R7" s="1"/>
      <c r="S7" s="1"/>
      <c r="T7" s="1"/>
      <c r="U7" s="1"/>
    </row>
    <row r="8" spans="1:21" ht="13.5" thickBot="1">
      <c r="C8" s="29"/>
      <c r="D8" s="1" t="s">
        <v>230</v>
      </c>
      <c r="E8" s="10"/>
      <c r="F8" s="10"/>
      <c r="G8" s="10"/>
      <c r="H8" s="10"/>
      <c r="I8" s="10"/>
      <c r="J8" s="10"/>
      <c r="K8" s="10"/>
      <c r="L8" s="10"/>
      <c r="M8" s="10"/>
      <c r="N8" s="10"/>
      <c r="O8" s="10"/>
      <c r="P8" s="1"/>
      <c r="R8" s="1"/>
      <c r="S8" s="1"/>
      <c r="T8" s="1"/>
      <c r="U8" s="1"/>
    </row>
    <row r="9" spans="1:21" ht="13.5" thickBot="1">
      <c r="C9" s="30" t="s">
        <v>48</v>
      </c>
      <c r="D9" s="89" t="s">
        <v>232</v>
      </c>
      <c r="E9" s="31" t="s">
        <v>310</v>
      </c>
      <c r="F9" s="526">
        <v>30770</v>
      </c>
      <c r="G9" s="31"/>
      <c r="H9" s="31"/>
      <c r="I9" s="32"/>
      <c r="J9" s="33"/>
      <c r="P9" s="1"/>
      <c r="R9" s="1"/>
      <c r="S9" s="1"/>
      <c r="T9" s="1"/>
      <c r="U9" s="1"/>
    </row>
    <row r="10" spans="1:21">
      <c r="C10" s="34" t="s">
        <v>49</v>
      </c>
      <c r="D10" s="532">
        <v>0</v>
      </c>
      <c r="E10" s="1" t="s">
        <v>50</v>
      </c>
      <c r="G10" s="2"/>
      <c r="H10" s="2"/>
      <c r="I10" s="36">
        <f>+'OKT.WS.F.BPU.ATRR.Projected'!R100</f>
        <v>2025</v>
      </c>
      <c r="J10" s="33"/>
      <c r="K10" s="242" t="s">
        <v>51</v>
      </c>
      <c r="O10" s="1"/>
      <c r="P10" s="1"/>
      <c r="R10" s="1"/>
      <c r="S10" s="1"/>
      <c r="T10" s="1"/>
      <c r="U10" s="1"/>
    </row>
    <row r="11" spans="1:21">
      <c r="C11" s="34" t="s">
        <v>52</v>
      </c>
      <c r="D11" s="37">
        <v>2013</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10</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0</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73" si="0">IF(D17=F16,"","IU")</f>
        <v>IU</v>
      </c>
      <c r="C17" s="49">
        <f>IF(D11= "","-",D11)</f>
        <v>2013</v>
      </c>
      <c r="D17" s="433">
        <v>4086696.07</v>
      </c>
      <c r="E17" s="440">
        <v>11782.768994177641</v>
      </c>
      <c r="F17" s="433">
        <v>4074913.3010058221</v>
      </c>
      <c r="G17" s="440">
        <v>123870.72395190655</v>
      </c>
      <c r="H17" s="438">
        <v>123870.72395190655</v>
      </c>
      <c r="I17" s="451">
        <v>0</v>
      </c>
      <c r="J17" s="51"/>
      <c r="K17" s="114">
        <f t="shared" ref="K17:K21" si="1">G17</f>
        <v>123870.72395190655</v>
      </c>
      <c r="L17" s="52">
        <f t="shared" ref="L17:L73" si="2">IF(K17&lt;&gt;0,+G17-K17,0)</f>
        <v>0</v>
      </c>
      <c r="M17" s="114">
        <f t="shared" ref="M17:M21" si="3">H17</f>
        <v>123870.72395190655</v>
      </c>
      <c r="N17" s="52">
        <f t="shared" ref="N17:N73" si="4">IF(M17&lt;&gt;0,+H17-M17,0)</f>
        <v>0</v>
      </c>
      <c r="O17" s="53">
        <f t="shared" ref="O17:O73" si="5">+N17-L17</f>
        <v>0</v>
      </c>
      <c r="P17" s="1"/>
      <c r="R17" s="1"/>
      <c r="S17" s="1"/>
      <c r="T17" s="1"/>
      <c r="U17" s="1"/>
    </row>
    <row r="18" spans="2:21">
      <c r="B18" t="str">
        <f t="shared" si="0"/>
        <v/>
      </c>
      <c r="C18" s="49">
        <f>IF(D11="","-",+C17+1)</f>
        <v>2014</v>
      </c>
      <c r="D18" s="435">
        <v>4074913.3010058221</v>
      </c>
      <c r="E18" s="434">
        <v>70696.613965065844</v>
      </c>
      <c r="F18" s="435">
        <v>4004216.6870407565</v>
      </c>
      <c r="G18" s="434">
        <v>511269.87430631154</v>
      </c>
      <c r="H18" s="438">
        <v>511269.87430631154</v>
      </c>
      <c r="I18" s="451">
        <v>0</v>
      </c>
      <c r="J18" s="51"/>
      <c r="K18" s="419">
        <f t="shared" si="1"/>
        <v>511269.87430631154</v>
      </c>
      <c r="L18" s="422">
        <f t="shared" si="2"/>
        <v>0</v>
      </c>
      <c r="M18" s="419">
        <f t="shared" si="3"/>
        <v>511269.87430631154</v>
      </c>
      <c r="N18" s="421">
        <f t="shared" si="4"/>
        <v>0</v>
      </c>
      <c r="O18" s="422">
        <f t="shared" si="5"/>
        <v>0</v>
      </c>
      <c r="P18" s="1"/>
      <c r="R18" s="1"/>
      <c r="S18" s="1"/>
      <c r="T18" s="1"/>
      <c r="U18" s="1"/>
    </row>
    <row r="19" spans="2:21">
      <c r="B19" t="str">
        <f t="shared" si="0"/>
        <v/>
      </c>
      <c r="C19" s="49">
        <f>IF(D11="","-",+C18+1)</f>
        <v>2015</v>
      </c>
      <c r="D19" s="435">
        <v>4004216.6870407565</v>
      </c>
      <c r="E19" s="434">
        <v>70696.613965065844</v>
      </c>
      <c r="F19" s="435">
        <v>3933520.0730756908</v>
      </c>
      <c r="G19" s="434">
        <v>476106.58378878143</v>
      </c>
      <c r="H19" s="438">
        <v>476106.58378878143</v>
      </c>
      <c r="I19" s="51">
        <v>0</v>
      </c>
      <c r="J19" s="51"/>
      <c r="K19" s="419">
        <f t="shared" si="1"/>
        <v>476106.58378878143</v>
      </c>
      <c r="L19" s="422">
        <f>IF(K19&lt;&gt;0,+G19-K19,0)</f>
        <v>0</v>
      </c>
      <c r="M19" s="419">
        <f t="shared" si="3"/>
        <v>476106.58378878143</v>
      </c>
      <c r="N19" s="421">
        <f>IF(M19&lt;&gt;0,+H19-M19,0)</f>
        <v>0</v>
      </c>
      <c r="O19" s="422">
        <f>+N19-L19</f>
        <v>0</v>
      </c>
      <c r="P19" s="1"/>
      <c r="R19" s="1"/>
      <c r="S19" s="1"/>
      <c r="T19" s="1"/>
      <c r="U19" s="1"/>
    </row>
    <row r="20" spans="2:21">
      <c r="B20" t="str">
        <f t="shared" si="0"/>
        <v/>
      </c>
      <c r="C20" s="49">
        <f>IF(D11="","-",+C19+1)</f>
        <v>2016</v>
      </c>
      <c r="D20" s="435">
        <v>3933520.0730756908</v>
      </c>
      <c r="E20" s="434">
        <v>84919.313620452886</v>
      </c>
      <c r="F20" s="435">
        <v>3848600.759455238</v>
      </c>
      <c r="G20" s="434">
        <v>500107.78781700449</v>
      </c>
      <c r="H20" s="438">
        <v>500107.78781700449</v>
      </c>
      <c r="I20" s="51">
        <f>H20-G20</f>
        <v>0</v>
      </c>
      <c r="J20" s="51"/>
      <c r="K20" s="419">
        <f t="shared" si="1"/>
        <v>500107.78781700449</v>
      </c>
      <c r="L20" s="422">
        <f>IF(K20&lt;&gt;0,+G20-K20,0)</f>
        <v>0</v>
      </c>
      <c r="M20" s="419">
        <f t="shared" si="3"/>
        <v>500107.78781700449</v>
      </c>
      <c r="N20" s="53">
        <f t="shared" si="4"/>
        <v>0</v>
      </c>
      <c r="O20" s="53">
        <f t="shared" si="5"/>
        <v>0</v>
      </c>
      <c r="P20" s="1"/>
      <c r="R20" s="1"/>
      <c r="S20" s="1"/>
      <c r="T20" s="1"/>
      <c r="U20" s="1"/>
    </row>
    <row r="21" spans="2:21">
      <c r="B21" t="str">
        <f t="shared" si="0"/>
        <v>IU</v>
      </c>
      <c r="C21" s="49">
        <f>IF(D11="","-",+C20+1)</f>
        <v>2017</v>
      </c>
      <c r="D21" s="435">
        <v>4561942.6894552382</v>
      </c>
      <c r="E21" s="434">
        <v>94378.250117010364</v>
      </c>
      <c r="F21" s="435">
        <v>4467564.4393382277</v>
      </c>
      <c r="G21" s="434">
        <v>590730.13217900996</v>
      </c>
      <c r="H21" s="438">
        <v>590730.13217900996</v>
      </c>
      <c r="I21" s="51">
        <f t="shared" ref="I21:I73" si="6">H21-G21</f>
        <v>0</v>
      </c>
      <c r="J21" s="51"/>
      <c r="K21" s="419">
        <f t="shared" si="1"/>
        <v>590730.13217900996</v>
      </c>
      <c r="L21" s="422">
        <f>IF(K21&lt;&gt;0,+G21-K21,0)</f>
        <v>0</v>
      </c>
      <c r="M21" s="419">
        <f t="shared" si="3"/>
        <v>590730.13217900996</v>
      </c>
      <c r="N21" s="53">
        <f>IF(M21&lt;&gt;0,+H21-M21,0)</f>
        <v>0</v>
      </c>
      <c r="O21" s="53">
        <f>+N21-L21</f>
        <v>0</v>
      </c>
      <c r="P21" s="1"/>
      <c r="R21" s="1"/>
      <c r="S21" s="1"/>
      <c r="T21" s="1"/>
      <c r="U21" s="1"/>
    </row>
    <row r="22" spans="2:21">
      <c r="B22" t="str">
        <f t="shared" si="0"/>
        <v>IU</v>
      </c>
      <c r="C22" s="49">
        <f>IF(D11="","-",+C21+1)</f>
        <v>2018</v>
      </c>
      <c r="D22" s="435"/>
      <c r="E22" s="434"/>
      <c r="F22" s="435"/>
      <c r="G22" s="434"/>
      <c r="H22" s="438"/>
      <c r="I22" s="51">
        <v>0</v>
      </c>
      <c r="J22" s="51"/>
      <c r="K22" s="419">
        <f t="shared" ref="K22" si="7">G22</f>
        <v>0</v>
      </c>
      <c r="L22" s="422">
        <f>IF(K22&lt;&gt;0,+G22-K22,0)</f>
        <v>0</v>
      </c>
      <c r="M22" s="419">
        <f t="shared" ref="M22" si="8">H22</f>
        <v>0</v>
      </c>
      <c r="N22" s="53">
        <f>IF(M22&lt;&gt;0,+H22-M22,0)</f>
        <v>0</v>
      </c>
      <c r="O22" s="53">
        <f>+N22-L22</f>
        <v>0</v>
      </c>
      <c r="P22" s="1"/>
      <c r="R22" s="1"/>
      <c r="S22" s="1"/>
      <c r="T22" s="1"/>
      <c r="U22" s="1"/>
    </row>
    <row r="23" spans="2:21">
      <c r="B23" t="str">
        <f t="shared" si="0"/>
        <v/>
      </c>
      <c r="C23" s="49">
        <f>IF(D11="","-",+C22+1)</f>
        <v>2019</v>
      </c>
      <c r="D23" s="54">
        <v>0</v>
      </c>
      <c r="E23" s="377">
        <f t="shared" ref="E23" si="9">IF(+$I$14&lt;F22,$I$14,D23)</f>
        <v>0</v>
      </c>
      <c r="F23" s="54">
        <f t="shared" ref="F23" si="10">+D23-E23</f>
        <v>0</v>
      </c>
      <c r="G23" s="378">
        <f t="shared" ref="G23" si="11">(D23+F23)/2*I$12+E23</f>
        <v>0</v>
      </c>
      <c r="H23" s="359">
        <f t="shared" ref="H23" si="12">+(D23+F23)/2*I$13+E23</f>
        <v>0</v>
      </c>
      <c r="I23" s="51">
        <f t="shared" si="6"/>
        <v>0</v>
      </c>
      <c r="J23" s="51"/>
      <c r="K23" s="112"/>
      <c r="L23" s="53">
        <f t="shared" si="2"/>
        <v>0</v>
      </c>
      <c r="M23" s="112"/>
      <c r="N23" s="53">
        <f t="shared" si="4"/>
        <v>0</v>
      </c>
      <c r="O23" s="53">
        <f t="shared" si="5"/>
        <v>0</v>
      </c>
      <c r="P23" s="1"/>
      <c r="R23" s="1"/>
      <c r="S23" s="1"/>
      <c r="T23" s="1"/>
      <c r="U23" s="1"/>
    </row>
    <row r="24" spans="2:21">
      <c r="B24" t="str">
        <f t="shared" si="0"/>
        <v/>
      </c>
      <c r="C24" s="49">
        <f>IF(D11="","-",+C23+1)</f>
        <v>2020</v>
      </c>
      <c r="D24" s="54">
        <v>0</v>
      </c>
      <c r="E24" s="377">
        <f t="shared" ref="E24:E73" si="13">IF(+$I$14&lt;F23,$I$14,D24)</f>
        <v>0</v>
      </c>
      <c r="F24" s="54">
        <f t="shared" ref="F24:F73" si="14">+D24-E24</f>
        <v>0</v>
      </c>
      <c r="G24" s="378">
        <f t="shared" ref="G24:G73" si="15">(D24+F24)/2*I$12+E24</f>
        <v>0</v>
      </c>
      <c r="H24" s="359">
        <f t="shared" ref="H24:H73" si="16">+(D24+F24)/2*I$13+E24</f>
        <v>0</v>
      </c>
      <c r="I24" s="51">
        <f t="shared" si="6"/>
        <v>0</v>
      </c>
      <c r="J24" s="51"/>
      <c r="K24" s="112"/>
      <c r="L24" s="53">
        <f t="shared" si="2"/>
        <v>0</v>
      </c>
      <c r="M24" s="112"/>
      <c r="N24" s="53">
        <f t="shared" si="4"/>
        <v>0</v>
      </c>
      <c r="O24" s="53">
        <f t="shared" si="5"/>
        <v>0</v>
      </c>
      <c r="P24" s="1"/>
      <c r="R24" s="1"/>
      <c r="S24" s="1"/>
      <c r="T24" s="1"/>
      <c r="U24" s="1"/>
    </row>
    <row r="25" spans="2:21">
      <c r="B25" t="str">
        <f t="shared" si="0"/>
        <v/>
      </c>
      <c r="C25" s="49">
        <f>IF(D11="","-",+C24+1)</f>
        <v>2021</v>
      </c>
      <c r="D25" s="54">
        <v>0</v>
      </c>
      <c r="E25" s="377">
        <f t="shared" si="13"/>
        <v>0</v>
      </c>
      <c r="F25" s="54">
        <f t="shared" si="14"/>
        <v>0</v>
      </c>
      <c r="G25" s="378">
        <f t="shared" si="15"/>
        <v>0</v>
      </c>
      <c r="H25" s="359">
        <f t="shared" si="16"/>
        <v>0</v>
      </c>
      <c r="I25" s="51">
        <f t="shared" si="6"/>
        <v>0</v>
      </c>
      <c r="J25" s="51"/>
      <c r="K25" s="112"/>
      <c r="L25" s="53">
        <f t="shared" si="2"/>
        <v>0</v>
      </c>
      <c r="M25" s="112"/>
      <c r="N25" s="53">
        <f t="shared" si="4"/>
        <v>0</v>
      </c>
      <c r="O25" s="53">
        <f t="shared" si="5"/>
        <v>0</v>
      </c>
      <c r="P25" s="1"/>
      <c r="R25" s="1"/>
      <c r="S25" s="1"/>
      <c r="T25" s="1"/>
      <c r="U25" s="1"/>
    </row>
    <row r="26" spans="2:21">
      <c r="B26" t="str">
        <f t="shared" si="0"/>
        <v/>
      </c>
      <c r="C26" s="49">
        <f>IF(D11="","-",+C25+1)</f>
        <v>2022</v>
      </c>
      <c r="D26" s="54">
        <v>0</v>
      </c>
      <c r="E26" s="377">
        <f t="shared" si="13"/>
        <v>0</v>
      </c>
      <c r="F26" s="54">
        <f t="shared" si="14"/>
        <v>0</v>
      </c>
      <c r="G26" s="378">
        <f t="shared" si="15"/>
        <v>0</v>
      </c>
      <c r="H26" s="359">
        <f t="shared" si="16"/>
        <v>0</v>
      </c>
      <c r="I26" s="51">
        <f t="shared" si="6"/>
        <v>0</v>
      </c>
      <c r="J26" s="51"/>
      <c r="K26" s="112"/>
      <c r="L26" s="53">
        <f t="shared" si="2"/>
        <v>0</v>
      </c>
      <c r="M26" s="112"/>
      <c r="N26" s="53">
        <f t="shared" si="4"/>
        <v>0</v>
      </c>
      <c r="O26" s="53">
        <f t="shared" si="5"/>
        <v>0</v>
      </c>
      <c r="P26" s="1"/>
      <c r="R26" s="1"/>
      <c r="S26" s="1"/>
      <c r="T26" s="1"/>
      <c r="U26" s="1"/>
    </row>
    <row r="27" spans="2:21">
      <c r="B27" t="str">
        <f t="shared" si="0"/>
        <v/>
      </c>
      <c r="C27" s="49">
        <f>IF(D11="","-",+C26+1)</f>
        <v>2023</v>
      </c>
      <c r="D27" s="54">
        <v>0</v>
      </c>
      <c r="E27" s="377">
        <f t="shared" si="13"/>
        <v>0</v>
      </c>
      <c r="F27" s="54">
        <f t="shared" si="14"/>
        <v>0</v>
      </c>
      <c r="G27" s="378">
        <f t="shared" si="15"/>
        <v>0</v>
      </c>
      <c r="H27" s="359">
        <f t="shared" si="16"/>
        <v>0</v>
      </c>
      <c r="I27" s="51">
        <f t="shared" si="6"/>
        <v>0</v>
      </c>
      <c r="J27" s="51"/>
      <c r="K27" s="112"/>
      <c r="L27" s="53">
        <f t="shared" si="2"/>
        <v>0</v>
      </c>
      <c r="M27" s="112"/>
      <c r="N27" s="53">
        <f t="shared" si="4"/>
        <v>0</v>
      </c>
      <c r="O27" s="53">
        <f t="shared" si="5"/>
        <v>0</v>
      </c>
      <c r="P27" s="1"/>
      <c r="R27" s="1"/>
      <c r="S27" s="1"/>
      <c r="T27" s="1"/>
      <c r="U27" s="1"/>
    </row>
    <row r="28" spans="2:21">
      <c r="B28" t="str">
        <f t="shared" si="0"/>
        <v/>
      </c>
      <c r="C28" s="49">
        <f>IF(D11="","-",+C27+1)</f>
        <v>2024</v>
      </c>
      <c r="D28" s="54">
        <v>0</v>
      </c>
      <c r="E28" s="377">
        <f t="shared" si="13"/>
        <v>0</v>
      </c>
      <c r="F28" s="54">
        <f t="shared" si="14"/>
        <v>0</v>
      </c>
      <c r="G28" s="378">
        <f t="shared" si="15"/>
        <v>0</v>
      </c>
      <c r="H28" s="359">
        <f t="shared" si="16"/>
        <v>0</v>
      </c>
      <c r="I28" s="51">
        <f t="shared" si="6"/>
        <v>0</v>
      </c>
      <c r="J28" s="51"/>
      <c r="K28" s="112"/>
      <c r="L28" s="53">
        <f t="shared" si="2"/>
        <v>0</v>
      </c>
      <c r="M28" s="112"/>
      <c r="N28" s="53">
        <f t="shared" si="4"/>
        <v>0</v>
      </c>
      <c r="O28" s="53">
        <f t="shared" si="5"/>
        <v>0</v>
      </c>
      <c r="P28" s="1"/>
      <c r="R28" s="1"/>
      <c r="S28" s="1"/>
      <c r="T28" s="1"/>
      <c r="U28" s="1"/>
    </row>
    <row r="29" spans="2:21">
      <c r="B29" t="str">
        <f t="shared" si="0"/>
        <v/>
      </c>
      <c r="C29" s="49">
        <f>IF(D11="","-",+C28+1)</f>
        <v>2025</v>
      </c>
      <c r="D29" s="54">
        <v>0</v>
      </c>
      <c r="E29" s="377">
        <f t="shared" si="13"/>
        <v>0</v>
      </c>
      <c r="F29" s="54">
        <f t="shared" si="14"/>
        <v>0</v>
      </c>
      <c r="G29" s="378">
        <f t="shared" si="15"/>
        <v>0</v>
      </c>
      <c r="H29" s="359">
        <f t="shared" si="16"/>
        <v>0</v>
      </c>
      <c r="I29" s="51">
        <f t="shared" si="6"/>
        <v>0</v>
      </c>
      <c r="J29" s="51"/>
      <c r="K29" s="112"/>
      <c r="L29" s="53">
        <f t="shared" si="2"/>
        <v>0</v>
      </c>
      <c r="M29" s="112"/>
      <c r="N29" s="53">
        <f t="shared" si="4"/>
        <v>0</v>
      </c>
      <c r="O29" s="53">
        <f t="shared" si="5"/>
        <v>0</v>
      </c>
      <c r="P29" s="1"/>
      <c r="R29" s="1"/>
      <c r="S29" s="1"/>
      <c r="T29" s="1"/>
      <c r="U29" s="1"/>
    </row>
    <row r="30" spans="2:21">
      <c r="B30" t="str">
        <f t="shared" si="0"/>
        <v/>
      </c>
      <c r="C30" s="49">
        <f>IF(D11="","-",+C29+1)</f>
        <v>2026</v>
      </c>
      <c r="D30" s="54">
        <v>0</v>
      </c>
      <c r="E30" s="377">
        <f t="shared" si="13"/>
        <v>0</v>
      </c>
      <c r="F30" s="54">
        <f t="shared" si="14"/>
        <v>0</v>
      </c>
      <c r="G30" s="378">
        <f t="shared" si="15"/>
        <v>0</v>
      </c>
      <c r="H30" s="359">
        <f t="shared" si="16"/>
        <v>0</v>
      </c>
      <c r="I30" s="51">
        <f t="shared" si="6"/>
        <v>0</v>
      </c>
      <c r="J30" s="51"/>
      <c r="K30" s="112"/>
      <c r="L30" s="53">
        <f t="shared" si="2"/>
        <v>0</v>
      </c>
      <c r="M30" s="112"/>
      <c r="N30" s="53">
        <f t="shared" si="4"/>
        <v>0</v>
      </c>
      <c r="O30" s="53">
        <f t="shared" si="5"/>
        <v>0</v>
      </c>
      <c r="P30" s="1"/>
      <c r="R30" s="1"/>
      <c r="S30" s="1"/>
      <c r="T30" s="1"/>
      <c r="U30" s="1"/>
    </row>
    <row r="31" spans="2:21">
      <c r="B31" t="str">
        <f t="shared" si="0"/>
        <v/>
      </c>
      <c r="C31" s="49">
        <f>IF(D11="","-",+C30+1)</f>
        <v>2027</v>
      </c>
      <c r="D31" s="54">
        <v>0</v>
      </c>
      <c r="E31" s="377">
        <f t="shared" si="13"/>
        <v>0</v>
      </c>
      <c r="F31" s="54">
        <f t="shared" si="14"/>
        <v>0</v>
      </c>
      <c r="G31" s="378">
        <f t="shared" si="15"/>
        <v>0</v>
      </c>
      <c r="H31" s="359">
        <f t="shared" si="16"/>
        <v>0</v>
      </c>
      <c r="I31" s="51">
        <f t="shared" si="6"/>
        <v>0</v>
      </c>
      <c r="J31" s="51"/>
      <c r="K31" s="112"/>
      <c r="L31" s="53">
        <f t="shared" si="2"/>
        <v>0</v>
      </c>
      <c r="M31" s="112"/>
      <c r="N31" s="53">
        <f t="shared" si="4"/>
        <v>0</v>
      </c>
      <c r="O31" s="53">
        <f t="shared" si="5"/>
        <v>0</v>
      </c>
      <c r="P31" s="1"/>
      <c r="R31" s="1"/>
      <c r="S31" s="1"/>
      <c r="T31" s="1"/>
      <c r="U31" s="1"/>
    </row>
    <row r="32" spans="2:21">
      <c r="B32" t="str">
        <f t="shared" si="0"/>
        <v/>
      </c>
      <c r="C32" s="49">
        <f>IF(D12="","-",+C31+1)</f>
        <v>2028</v>
      </c>
      <c r="D32" s="54">
        <v>0</v>
      </c>
      <c r="E32" s="377">
        <f t="shared" si="13"/>
        <v>0</v>
      </c>
      <c r="F32" s="54">
        <f t="shared" si="14"/>
        <v>0</v>
      </c>
      <c r="G32" s="378">
        <f t="shared" si="15"/>
        <v>0</v>
      </c>
      <c r="H32" s="359">
        <f t="shared" si="16"/>
        <v>0</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2029</v>
      </c>
      <c r="D33" s="54">
        <v>0</v>
      </c>
      <c r="E33" s="377">
        <f t="shared" si="13"/>
        <v>0</v>
      </c>
      <c r="F33" s="54">
        <f t="shared" si="14"/>
        <v>0</v>
      </c>
      <c r="G33" s="378">
        <f t="shared" si="15"/>
        <v>0</v>
      </c>
      <c r="H33" s="359">
        <f t="shared" si="16"/>
        <v>0</v>
      </c>
      <c r="I33" s="51">
        <f>H33-G33</f>
        <v>0</v>
      </c>
      <c r="J33" s="51"/>
      <c r="K33" s="112"/>
      <c r="L33" s="53">
        <f>IF(K33&lt;&gt;0,+G33-K33,0)</f>
        <v>0</v>
      </c>
      <c r="M33" s="112"/>
      <c r="N33" s="53">
        <f>IF(M33&lt;&gt;0,+H33-M33,0)</f>
        <v>0</v>
      </c>
      <c r="O33" s="53">
        <f>+N33-L33</f>
        <v>0</v>
      </c>
      <c r="P33" s="1"/>
      <c r="R33" s="1"/>
      <c r="S33" s="1"/>
      <c r="T33" s="1"/>
      <c r="U33" s="1"/>
    </row>
    <row r="34" spans="2:21">
      <c r="B34" t="str">
        <f t="shared" si="0"/>
        <v/>
      </c>
      <c r="C34" s="379">
        <f>IF(D11="","-",+C33+1)</f>
        <v>2030</v>
      </c>
      <c r="D34" s="54">
        <v>0</v>
      </c>
      <c r="E34" s="377">
        <f t="shared" si="13"/>
        <v>0</v>
      </c>
      <c r="F34" s="54">
        <f t="shared" si="14"/>
        <v>0</v>
      </c>
      <c r="G34" s="378">
        <f t="shared" si="15"/>
        <v>0</v>
      </c>
      <c r="H34" s="359">
        <f t="shared" si="16"/>
        <v>0</v>
      </c>
      <c r="I34" s="384">
        <f t="shared" si="6"/>
        <v>0</v>
      </c>
      <c r="J34" s="384"/>
      <c r="K34" s="385"/>
      <c r="L34" s="386">
        <f t="shared" si="2"/>
        <v>0</v>
      </c>
      <c r="M34" s="385"/>
      <c r="N34" s="386">
        <f t="shared" si="4"/>
        <v>0</v>
      </c>
      <c r="O34" s="386">
        <f t="shared" si="5"/>
        <v>0</v>
      </c>
      <c r="P34" s="387"/>
      <c r="Q34" s="187"/>
      <c r="R34" s="387"/>
      <c r="S34" s="387"/>
      <c r="T34" s="387"/>
      <c r="U34" s="1"/>
    </row>
    <row r="35" spans="2:21">
      <c r="B35" t="str">
        <f t="shared" si="0"/>
        <v/>
      </c>
      <c r="C35" s="49">
        <f>IF(D11="","-",+C34+1)</f>
        <v>2031</v>
      </c>
      <c r="D35" s="54">
        <v>0</v>
      </c>
      <c r="E35" s="377">
        <f t="shared" si="13"/>
        <v>0</v>
      </c>
      <c r="F35" s="54">
        <f t="shared" si="14"/>
        <v>0</v>
      </c>
      <c r="G35" s="378">
        <f t="shared" si="15"/>
        <v>0</v>
      </c>
      <c r="H35" s="359">
        <f t="shared" si="16"/>
        <v>0</v>
      </c>
      <c r="I35" s="51">
        <f t="shared" si="6"/>
        <v>0</v>
      </c>
      <c r="J35" s="51"/>
      <c r="K35" s="112"/>
      <c r="L35" s="53">
        <f t="shared" si="2"/>
        <v>0</v>
      </c>
      <c r="M35" s="112"/>
      <c r="N35" s="53">
        <f t="shared" si="4"/>
        <v>0</v>
      </c>
      <c r="O35" s="53">
        <f t="shared" si="5"/>
        <v>0</v>
      </c>
      <c r="P35" s="1"/>
      <c r="R35" s="1"/>
      <c r="S35" s="1"/>
      <c r="T35" s="1"/>
      <c r="U35" s="1"/>
    </row>
    <row r="36" spans="2:21">
      <c r="B36" t="str">
        <f t="shared" si="0"/>
        <v/>
      </c>
      <c r="C36" s="49">
        <f>IF(D11="","-",+C35+1)</f>
        <v>2032</v>
      </c>
      <c r="D36" s="54">
        <v>0</v>
      </c>
      <c r="E36" s="377">
        <f t="shared" si="13"/>
        <v>0</v>
      </c>
      <c r="F36" s="54">
        <f t="shared" si="14"/>
        <v>0</v>
      </c>
      <c r="G36" s="378">
        <f t="shared" si="15"/>
        <v>0</v>
      </c>
      <c r="H36" s="359">
        <f t="shared" si="16"/>
        <v>0</v>
      </c>
      <c r="I36" s="51">
        <f t="shared" si="6"/>
        <v>0</v>
      </c>
      <c r="J36" s="51"/>
      <c r="K36" s="112"/>
      <c r="L36" s="53">
        <f t="shared" si="2"/>
        <v>0</v>
      </c>
      <c r="M36" s="112"/>
      <c r="N36" s="53">
        <f t="shared" si="4"/>
        <v>0</v>
      </c>
      <c r="O36" s="53">
        <f t="shared" si="5"/>
        <v>0</v>
      </c>
      <c r="P36" s="1"/>
      <c r="R36" s="1"/>
      <c r="S36" s="1"/>
      <c r="T36" s="1"/>
      <c r="U36" s="1"/>
    </row>
    <row r="37" spans="2:21">
      <c r="B37" t="str">
        <f t="shared" si="0"/>
        <v/>
      </c>
      <c r="C37" s="49">
        <f>IF(D11="","-",+C36+1)</f>
        <v>2033</v>
      </c>
      <c r="D37" s="54">
        <v>0</v>
      </c>
      <c r="E37" s="377">
        <f t="shared" si="13"/>
        <v>0</v>
      </c>
      <c r="F37" s="54">
        <f t="shared" si="14"/>
        <v>0</v>
      </c>
      <c r="G37" s="378">
        <f t="shared" si="15"/>
        <v>0</v>
      </c>
      <c r="H37" s="359">
        <f t="shared" si="16"/>
        <v>0</v>
      </c>
      <c r="I37" s="51">
        <f t="shared" si="6"/>
        <v>0</v>
      </c>
      <c r="J37" s="51"/>
      <c r="K37" s="112"/>
      <c r="L37" s="53">
        <f t="shared" si="2"/>
        <v>0</v>
      </c>
      <c r="M37" s="112"/>
      <c r="N37" s="53">
        <f t="shared" si="4"/>
        <v>0</v>
      </c>
      <c r="O37" s="53">
        <f t="shared" si="5"/>
        <v>0</v>
      </c>
      <c r="P37" s="1"/>
      <c r="R37" s="1"/>
      <c r="S37" s="1"/>
      <c r="T37" s="1"/>
      <c r="U37" s="1"/>
    </row>
    <row r="38" spans="2:21">
      <c r="B38" t="str">
        <f t="shared" si="0"/>
        <v/>
      </c>
      <c r="C38" s="49">
        <f>IF(D11="","-",+C37+1)</f>
        <v>2034</v>
      </c>
      <c r="D38" s="54">
        <v>0</v>
      </c>
      <c r="E38" s="377">
        <f t="shared" si="13"/>
        <v>0</v>
      </c>
      <c r="F38" s="54">
        <f t="shared" si="14"/>
        <v>0</v>
      </c>
      <c r="G38" s="378">
        <f t="shared" si="15"/>
        <v>0</v>
      </c>
      <c r="H38" s="359">
        <f t="shared" si="16"/>
        <v>0</v>
      </c>
      <c r="I38" s="51">
        <f t="shared" si="6"/>
        <v>0</v>
      </c>
      <c r="J38" s="51"/>
      <c r="K38" s="112"/>
      <c r="L38" s="53">
        <f t="shared" si="2"/>
        <v>0</v>
      </c>
      <c r="M38" s="112"/>
      <c r="N38" s="53">
        <f t="shared" si="4"/>
        <v>0</v>
      </c>
      <c r="O38" s="53">
        <f t="shared" si="5"/>
        <v>0</v>
      </c>
      <c r="P38" s="1"/>
      <c r="R38" s="1"/>
      <c r="S38" s="1"/>
      <c r="T38" s="1"/>
      <c r="U38" s="1"/>
    </row>
    <row r="39" spans="2:21">
      <c r="B39" t="str">
        <f t="shared" si="0"/>
        <v/>
      </c>
      <c r="C39" s="49">
        <f>IF(D11="","-",+C38+1)</f>
        <v>2035</v>
      </c>
      <c r="D39" s="54">
        <v>0</v>
      </c>
      <c r="E39" s="377">
        <f t="shared" si="13"/>
        <v>0</v>
      </c>
      <c r="F39" s="54">
        <f t="shared" si="14"/>
        <v>0</v>
      </c>
      <c r="G39" s="378">
        <f t="shared" si="15"/>
        <v>0</v>
      </c>
      <c r="H39" s="359">
        <f t="shared" si="16"/>
        <v>0</v>
      </c>
      <c r="I39" s="51">
        <f t="shared" si="6"/>
        <v>0</v>
      </c>
      <c r="J39" s="51"/>
      <c r="K39" s="112"/>
      <c r="L39" s="53">
        <f t="shared" si="2"/>
        <v>0</v>
      </c>
      <c r="M39" s="112"/>
      <c r="N39" s="53">
        <f t="shared" si="4"/>
        <v>0</v>
      </c>
      <c r="O39" s="53">
        <f t="shared" si="5"/>
        <v>0</v>
      </c>
      <c r="P39" s="1"/>
      <c r="R39" s="1"/>
      <c r="S39" s="1"/>
      <c r="T39" s="1"/>
      <c r="U39" s="1"/>
    </row>
    <row r="40" spans="2:21">
      <c r="B40" t="str">
        <f t="shared" si="0"/>
        <v/>
      </c>
      <c r="C40" s="49">
        <f>IF(D11="","-",+C39+1)</f>
        <v>2036</v>
      </c>
      <c r="D40" s="54">
        <v>0</v>
      </c>
      <c r="E40" s="377">
        <f t="shared" si="13"/>
        <v>0</v>
      </c>
      <c r="F40" s="54">
        <f t="shared" si="14"/>
        <v>0</v>
      </c>
      <c r="G40" s="378">
        <f t="shared" si="15"/>
        <v>0</v>
      </c>
      <c r="H40" s="359">
        <f t="shared" si="16"/>
        <v>0</v>
      </c>
      <c r="I40" s="51">
        <f t="shared" si="6"/>
        <v>0</v>
      </c>
      <c r="J40" s="51"/>
      <c r="K40" s="112"/>
      <c r="L40" s="53">
        <f t="shared" si="2"/>
        <v>0</v>
      </c>
      <c r="M40" s="112"/>
      <c r="N40" s="53">
        <f t="shared" si="4"/>
        <v>0</v>
      </c>
      <c r="O40" s="53">
        <f t="shared" si="5"/>
        <v>0</v>
      </c>
      <c r="P40" s="1"/>
      <c r="R40" s="1"/>
      <c r="S40" s="1"/>
      <c r="T40" s="1"/>
      <c r="U40" s="1"/>
    </row>
    <row r="41" spans="2:21">
      <c r="B41" t="str">
        <f t="shared" si="0"/>
        <v/>
      </c>
      <c r="C41" s="49">
        <f>IF(D12="","-",+C40+1)</f>
        <v>2037</v>
      </c>
      <c r="D41" s="54">
        <v>0</v>
      </c>
      <c r="E41" s="377">
        <f t="shared" si="13"/>
        <v>0</v>
      </c>
      <c r="F41" s="54">
        <f t="shared" si="14"/>
        <v>0</v>
      </c>
      <c r="G41" s="378">
        <f t="shared" si="15"/>
        <v>0</v>
      </c>
      <c r="H41" s="359">
        <f t="shared" si="16"/>
        <v>0</v>
      </c>
      <c r="I41" s="51">
        <f t="shared" si="6"/>
        <v>0</v>
      </c>
      <c r="J41" s="51"/>
      <c r="K41" s="112"/>
      <c r="L41" s="53">
        <f t="shared" si="2"/>
        <v>0</v>
      </c>
      <c r="M41" s="112"/>
      <c r="N41" s="53">
        <f t="shared" si="4"/>
        <v>0</v>
      </c>
      <c r="O41" s="53">
        <f t="shared" si="5"/>
        <v>0</v>
      </c>
      <c r="P41" s="1"/>
      <c r="R41" s="1"/>
      <c r="S41" s="1"/>
      <c r="T41" s="1"/>
      <c r="U41" s="1"/>
    </row>
    <row r="42" spans="2:21">
      <c r="B42" t="str">
        <f t="shared" si="0"/>
        <v/>
      </c>
      <c r="C42" s="49">
        <f>IF(D13="","-",+C41+1)</f>
        <v>2038</v>
      </c>
      <c r="D42" s="54">
        <v>0</v>
      </c>
      <c r="E42" s="377">
        <f t="shared" si="13"/>
        <v>0</v>
      </c>
      <c r="F42" s="54">
        <f t="shared" si="14"/>
        <v>0</v>
      </c>
      <c r="G42" s="378">
        <f t="shared" si="15"/>
        <v>0</v>
      </c>
      <c r="H42" s="359">
        <f t="shared" si="16"/>
        <v>0</v>
      </c>
      <c r="I42" s="51">
        <f t="shared" si="6"/>
        <v>0</v>
      </c>
      <c r="J42" s="51"/>
      <c r="K42" s="112"/>
      <c r="L42" s="53">
        <f t="shared" si="2"/>
        <v>0</v>
      </c>
      <c r="M42" s="112"/>
      <c r="N42" s="53">
        <f t="shared" si="4"/>
        <v>0</v>
      </c>
      <c r="O42" s="53">
        <f t="shared" si="5"/>
        <v>0</v>
      </c>
      <c r="P42" s="1"/>
      <c r="R42" s="1"/>
      <c r="S42" s="1"/>
      <c r="T42" s="1"/>
      <c r="U42" s="1"/>
    </row>
    <row r="43" spans="2:21">
      <c r="B43" t="str">
        <f t="shared" si="0"/>
        <v/>
      </c>
      <c r="C43" s="49">
        <f>IF(D11="","-",+C42+1)</f>
        <v>2039</v>
      </c>
      <c r="D43" s="54">
        <v>0</v>
      </c>
      <c r="E43" s="377">
        <f t="shared" si="13"/>
        <v>0</v>
      </c>
      <c r="F43" s="54">
        <f t="shared" si="14"/>
        <v>0</v>
      </c>
      <c r="G43" s="378">
        <f t="shared" si="15"/>
        <v>0</v>
      </c>
      <c r="H43" s="359">
        <f t="shared" si="16"/>
        <v>0</v>
      </c>
      <c r="I43" s="51">
        <f t="shared" si="6"/>
        <v>0</v>
      </c>
      <c r="J43" s="51"/>
      <c r="K43" s="112"/>
      <c r="L43" s="53">
        <f t="shared" si="2"/>
        <v>0</v>
      </c>
      <c r="M43" s="112"/>
      <c r="N43" s="53">
        <f t="shared" si="4"/>
        <v>0</v>
      </c>
      <c r="O43" s="53">
        <f t="shared" si="5"/>
        <v>0</v>
      </c>
      <c r="P43" s="1"/>
      <c r="R43" s="1"/>
      <c r="S43" s="1"/>
      <c r="T43" s="1"/>
      <c r="U43" s="1"/>
    </row>
    <row r="44" spans="2:21">
      <c r="B44" t="str">
        <f t="shared" si="0"/>
        <v/>
      </c>
      <c r="C44" s="49">
        <f>IF(D11="","-",+C43+1)</f>
        <v>2040</v>
      </c>
      <c r="D44" s="54">
        <v>0</v>
      </c>
      <c r="E44" s="377">
        <f t="shared" si="13"/>
        <v>0</v>
      </c>
      <c r="F44" s="54">
        <f t="shared" si="14"/>
        <v>0</v>
      </c>
      <c r="G44" s="378">
        <f t="shared" si="15"/>
        <v>0</v>
      </c>
      <c r="H44" s="359">
        <f t="shared" si="16"/>
        <v>0</v>
      </c>
      <c r="I44" s="51">
        <f t="shared" si="6"/>
        <v>0</v>
      </c>
      <c r="J44" s="51"/>
      <c r="K44" s="112"/>
      <c r="L44" s="53">
        <f t="shared" si="2"/>
        <v>0</v>
      </c>
      <c r="M44" s="112"/>
      <c r="N44" s="53">
        <f t="shared" si="4"/>
        <v>0</v>
      </c>
      <c r="O44" s="53">
        <f t="shared" si="5"/>
        <v>0</v>
      </c>
      <c r="P44" s="1"/>
      <c r="R44" s="1"/>
      <c r="S44" s="1"/>
      <c r="T44" s="1"/>
      <c r="U44" s="1"/>
    </row>
    <row r="45" spans="2:21">
      <c r="B45" t="str">
        <f t="shared" si="0"/>
        <v/>
      </c>
      <c r="C45" s="49">
        <f>IF(D11="","-",+C44+1)</f>
        <v>2041</v>
      </c>
      <c r="D45" s="54">
        <v>0</v>
      </c>
      <c r="E45" s="377">
        <f t="shared" si="13"/>
        <v>0</v>
      </c>
      <c r="F45" s="54">
        <f t="shared" si="14"/>
        <v>0</v>
      </c>
      <c r="G45" s="378">
        <f t="shared" si="15"/>
        <v>0</v>
      </c>
      <c r="H45" s="359">
        <f t="shared" si="16"/>
        <v>0</v>
      </c>
      <c r="I45" s="51">
        <f t="shared" si="6"/>
        <v>0</v>
      </c>
      <c r="J45" s="51"/>
      <c r="K45" s="112"/>
      <c r="L45" s="53">
        <f t="shared" si="2"/>
        <v>0</v>
      </c>
      <c r="M45" s="112"/>
      <c r="N45" s="53">
        <f t="shared" si="4"/>
        <v>0</v>
      </c>
      <c r="O45" s="53">
        <f t="shared" si="5"/>
        <v>0</v>
      </c>
      <c r="P45" s="1"/>
      <c r="R45" s="1"/>
      <c r="S45" s="1"/>
      <c r="T45" s="1"/>
      <c r="U45" s="1"/>
    </row>
    <row r="46" spans="2:21">
      <c r="B46" t="str">
        <f t="shared" si="0"/>
        <v/>
      </c>
      <c r="C46" s="49">
        <f>IF(D11="","-",+C45+1)</f>
        <v>2042</v>
      </c>
      <c r="D46" s="54">
        <v>0</v>
      </c>
      <c r="E46" s="377">
        <f t="shared" si="13"/>
        <v>0</v>
      </c>
      <c r="F46" s="54">
        <f t="shared" si="14"/>
        <v>0</v>
      </c>
      <c r="G46" s="378">
        <f t="shared" si="15"/>
        <v>0</v>
      </c>
      <c r="H46" s="359">
        <f t="shared" si="16"/>
        <v>0</v>
      </c>
      <c r="I46" s="51">
        <f t="shared" si="6"/>
        <v>0</v>
      </c>
      <c r="J46" s="51"/>
      <c r="K46" s="112"/>
      <c r="L46" s="53">
        <f t="shared" si="2"/>
        <v>0</v>
      </c>
      <c r="M46" s="112"/>
      <c r="N46" s="53">
        <f t="shared" si="4"/>
        <v>0</v>
      </c>
      <c r="O46" s="53">
        <f t="shared" si="5"/>
        <v>0</v>
      </c>
      <c r="P46" s="1"/>
      <c r="R46" s="1"/>
      <c r="S46" s="1"/>
      <c r="T46" s="1"/>
      <c r="U46" s="1"/>
    </row>
    <row r="47" spans="2:21">
      <c r="B47" t="str">
        <f t="shared" si="0"/>
        <v/>
      </c>
      <c r="C47" s="49">
        <f>IF(D11="","-",+C46+1)</f>
        <v>2043</v>
      </c>
      <c r="D47" s="54">
        <v>0</v>
      </c>
      <c r="E47" s="377">
        <f t="shared" si="13"/>
        <v>0</v>
      </c>
      <c r="F47" s="54">
        <f t="shared" si="14"/>
        <v>0</v>
      </c>
      <c r="G47" s="378">
        <f t="shared" si="15"/>
        <v>0</v>
      </c>
      <c r="H47" s="359">
        <f t="shared" si="16"/>
        <v>0</v>
      </c>
      <c r="I47" s="51">
        <f t="shared" si="6"/>
        <v>0</v>
      </c>
      <c r="J47" s="51"/>
      <c r="K47" s="112"/>
      <c r="L47" s="53">
        <f t="shared" si="2"/>
        <v>0</v>
      </c>
      <c r="M47" s="112"/>
      <c r="N47" s="53">
        <f t="shared" si="4"/>
        <v>0</v>
      </c>
      <c r="O47" s="53">
        <f t="shared" si="5"/>
        <v>0</v>
      </c>
      <c r="P47" s="1"/>
      <c r="R47" s="1"/>
      <c r="S47" s="1"/>
      <c r="T47" s="1"/>
      <c r="U47" s="1"/>
    </row>
    <row r="48" spans="2:21">
      <c r="B48" t="str">
        <f t="shared" si="0"/>
        <v/>
      </c>
      <c r="C48" s="49">
        <f>IF(D11="","-",+C47+1)</f>
        <v>2044</v>
      </c>
      <c r="D48" s="54">
        <v>0</v>
      </c>
      <c r="E48" s="377">
        <f t="shared" si="13"/>
        <v>0</v>
      </c>
      <c r="F48" s="54">
        <f t="shared" si="14"/>
        <v>0</v>
      </c>
      <c r="G48" s="378">
        <f t="shared" si="15"/>
        <v>0</v>
      </c>
      <c r="H48" s="359">
        <f t="shared" si="16"/>
        <v>0</v>
      </c>
      <c r="I48" s="51">
        <f t="shared" si="6"/>
        <v>0</v>
      </c>
      <c r="J48" s="51"/>
      <c r="K48" s="112"/>
      <c r="L48" s="53">
        <f t="shared" si="2"/>
        <v>0</v>
      </c>
      <c r="M48" s="112"/>
      <c r="N48" s="53">
        <f t="shared" si="4"/>
        <v>0</v>
      </c>
      <c r="O48" s="53">
        <f t="shared" si="5"/>
        <v>0</v>
      </c>
      <c r="P48" s="1"/>
      <c r="R48" s="1"/>
      <c r="S48" s="1"/>
      <c r="T48" s="1"/>
      <c r="U48" s="1"/>
    </row>
    <row r="49" spans="2:21">
      <c r="B49" t="str">
        <f t="shared" si="0"/>
        <v/>
      </c>
      <c r="C49" s="49">
        <f>IF(D11="","-",+C48+1)</f>
        <v>2045</v>
      </c>
      <c r="D49" s="54">
        <v>0</v>
      </c>
      <c r="E49" s="377">
        <f t="shared" si="13"/>
        <v>0</v>
      </c>
      <c r="F49" s="54">
        <f t="shared" si="14"/>
        <v>0</v>
      </c>
      <c r="G49" s="378">
        <f t="shared" si="15"/>
        <v>0</v>
      </c>
      <c r="H49" s="359">
        <f t="shared" si="16"/>
        <v>0</v>
      </c>
      <c r="I49" s="51">
        <f t="shared" si="6"/>
        <v>0</v>
      </c>
      <c r="J49" s="51"/>
      <c r="K49" s="112"/>
      <c r="L49" s="53">
        <f t="shared" si="2"/>
        <v>0</v>
      </c>
      <c r="M49" s="112"/>
      <c r="N49" s="53">
        <f t="shared" si="4"/>
        <v>0</v>
      </c>
      <c r="O49" s="53">
        <f t="shared" si="5"/>
        <v>0</v>
      </c>
      <c r="P49" s="1"/>
      <c r="R49" s="1"/>
      <c r="S49" s="1"/>
      <c r="T49" s="1"/>
      <c r="U49" s="1"/>
    </row>
    <row r="50" spans="2:21">
      <c r="B50" t="str">
        <f t="shared" si="0"/>
        <v/>
      </c>
      <c r="C50" s="49">
        <f>IF(D11="","-",+C49+1)</f>
        <v>2046</v>
      </c>
      <c r="D50" s="54">
        <v>0</v>
      </c>
      <c r="E50" s="377">
        <f t="shared" si="13"/>
        <v>0</v>
      </c>
      <c r="F50" s="54">
        <f t="shared" si="14"/>
        <v>0</v>
      </c>
      <c r="G50" s="378">
        <f t="shared" si="15"/>
        <v>0</v>
      </c>
      <c r="H50" s="359">
        <f t="shared" si="16"/>
        <v>0</v>
      </c>
      <c r="I50" s="51">
        <f t="shared" si="6"/>
        <v>0</v>
      </c>
      <c r="J50" s="51"/>
      <c r="K50" s="112"/>
      <c r="L50" s="53">
        <f t="shared" si="2"/>
        <v>0</v>
      </c>
      <c r="M50" s="112"/>
      <c r="N50" s="53">
        <f t="shared" si="4"/>
        <v>0</v>
      </c>
      <c r="O50" s="53">
        <f t="shared" si="5"/>
        <v>0</v>
      </c>
      <c r="P50" s="1"/>
      <c r="R50" s="1"/>
      <c r="S50" s="1"/>
      <c r="T50" s="1"/>
      <c r="U50" s="1"/>
    </row>
    <row r="51" spans="2:21">
      <c r="B51" t="str">
        <f t="shared" si="0"/>
        <v/>
      </c>
      <c r="C51" s="49">
        <f>IF(D11="","-",+C50+1)</f>
        <v>2047</v>
      </c>
      <c r="D51" s="54">
        <v>0</v>
      </c>
      <c r="E51" s="377">
        <f t="shared" si="13"/>
        <v>0</v>
      </c>
      <c r="F51" s="54">
        <f t="shared" si="14"/>
        <v>0</v>
      </c>
      <c r="G51" s="378">
        <f t="shared" si="15"/>
        <v>0</v>
      </c>
      <c r="H51" s="359">
        <f t="shared" si="16"/>
        <v>0</v>
      </c>
      <c r="I51" s="51">
        <f t="shared" si="6"/>
        <v>0</v>
      </c>
      <c r="J51" s="51"/>
      <c r="K51" s="112"/>
      <c r="L51" s="53">
        <f t="shared" si="2"/>
        <v>0</v>
      </c>
      <c r="M51" s="112"/>
      <c r="N51" s="53">
        <f t="shared" si="4"/>
        <v>0</v>
      </c>
      <c r="O51" s="53">
        <f t="shared" si="5"/>
        <v>0</v>
      </c>
      <c r="P51" s="1"/>
      <c r="R51" s="1"/>
      <c r="S51" s="1"/>
      <c r="T51" s="1"/>
      <c r="U51" s="1"/>
    </row>
    <row r="52" spans="2:21">
      <c r="B52" t="str">
        <f t="shared" si="0"/>
        <v/>
      </c>
      <c r="C52" s="49">
        <f>IF(D11="","-",+C51+1)</f>
        <v>2048</v>
      </c>
      <c r="D52" s="54">
        <v>0</v>
      </c>
      <c r="E52" s="377">
        <f t="shared" si="13"/>
        <v>0</v>
      </c>
      <c r="F52" s="54">
        <f t="shared" si="14"/>
        <v>0</v>
      </c>
      <c r="G52" s="378">
        <f t="shared" si="15"/>
        <v>0</v>
      </c>
      <c r="H52" s="359">
        <f t="shared" si="16"/>
        <v>0</v>
      </c>
      <c r="I52" s="51">
        <f t="shared" si="6"/>
        <v>0</v>
      </c>
      <c r="J52" s="51"/>
      <c r="K52" s="112"/>
      <c r="L52" s="53">
        <f t="shared" si="2"/>
        <v>0</v>
      </c>
      <c r="M52" s="112"/>
      <c r="N52" s="53">
        <f t="shared" si="4"/>
        <v>0</v>
      </c>
      <c r="O52" s="53">
        <f t="shared" si="5"/>
        <v>0</v>
      </c>
      <c r="P52" s="1"/>
      <c r="R52" s="1"/>
      <c r="S52" s="1"/>
      <c r="T52" s="1"/>
      <c r="U52" s="1"/>
    </row>
    <row r="53" spans="2:21">
      <c r="B53" t="str">
        <f t="shared" si="0"/>
        <v/>
      </c>
      <c r="C53" s="49">
        <f>IF(D11="","-",+C52+1)</f>
        <v>2049</v>
      </c>
      <c r="D53" s="54">
        <v>0</v>
      </c>
      <c r="E53" s="377">
        <f t="shared" si="13"/>
        <v>0</v>
      </c>
      <c r="F53" s="54">
        <f t="shared" si="14"/>
        <v>0</v>
      </c>
      <c r="G53" s="378">
        <f t="shared" si="15"/>
        <v>0</v>
      </c>
      <c r="H53" s="359">
        <f t="shared" si="16"/>
        <v>0</v>
      </c>
      <c r="I53" s="51">
        <f t="shared" si="6"/>
        <v>0</v>
      </c>
      <c r="J53" s="51"/>
      <c r="K53" s="112"/>
      <c r="L53" s="53">
        <f t="shared" si="2"/>
        <v>0</v>
      </c>
      <c r="M53" s="112"/>
      <c r="N53" s="53">
        <f t="shared" si="4"/>
        <v>0</v>
      </c>
      <c r="O53" s="53">
        <f t="shared" si="5"/>
        <v>0</v>
      </c>
      <c r="P53" s="1"/>
      <c r="R53" s="1"/>
      <c r="S53" s="1"/>
      <c r="T53" s="1"/>
      <c r="U53" s="1"/>
    </row>
    <row r="54" spans="2:21">
      <c r="B54" t="str">
        <f t="shared" si="0"/>
        <v/>
      </c>
      <c r="C54" s="49">
        <f>IF(D11="","-",+C53+1)</f>
        <v>2050</v>
      </c>
      <c r="D54" s="54">
        <v>0</v>
      </c>
      <c r="E54" s="377">
        <f t="shared" si="13"/>
        <v>0</v>
      </c>
      <c r="F54" s="54">
        <f t="shared" si="14"/>
        <v>0</v>
      </c>
      <c r="G54" s="378">
        <f t="shared" si="15"/>
        <v>0</v>
      </c>
      <c r="H54" s="359">
        <f t="shared" si="16"/>
        <v>0</v>
      </c>
      <c r="I54" s="51">
        <f t="shared" si="6"/>
        <v>0</v>
      </c>
      <c r="J54" s="51"/>
      <c r="K54" s="112"/>
      <c r="L54" s="53">
        <f t="shared" si="2"/>
        <v>0</v>
      </c>
      <c r="M54" s="112"/>
      <c r="N54" s="53">
        <f t="shared" si="4"/>
        <v>0</v>
      </c>
      <c r="O54" s="53">
        <f t="shared" si="5"/>
        <v>0</v>
      </c>
      <c r="P54" s="1"/>
      <c r="R54" s="1"/>
      <c r="S54" s="1"/>
      <c r="T54" s="1"/>
      <c r="U54" s="1"/>
    </row>
    <row r="55" spans="2:21">
      <c r="B55" t="str">
        <f t="shared" si="0"/>
        <v/>
      </c>
      <c r="C55" s="49">
        <f>IF(D11="","-",+C54+1)</f>
        <v>2051</v>
      </c>
      <c r="D55" s="54">
        <v>0</v>
      </c>
      <c r="E55" s="377">
        <f t="shared" si="13"/>
        <v>0</v>
      </c>
      <c r="F55" s="54">
        <f t="shared" si="14"/>
        <v>0</v>
      </c>
      <c r="G55" s="378">
        <f t="shared" si="15"/>
        <v>0</v>
      </c>
      <c r="H55" s="359">
        <f t="shared" si="16"/>
        <v>0</v>
      </c>
      <c r="I55" s="51">
        <f t="shared" si="6"/>
        <v>0</v>
      </c>
      <c r="J55" s="51"/>
      <c r="K55" s="112"/>
      <c r="L55" s="53">
        <f t="shared" si="2"/>
        <v>0</v>
      </c>
      <c r="M55" s="112"/>
      <c r="N55" s="53">
        <f t="shared" si="4"/>
        <v>0</v>
      </c>
      <c r="O55" s="53">
        <f t="shared" si="5"/>
        <v>0</v>
      </c>
      <c r="P55" s="1"/>
      <c r="R55" s="1"/>
      <c r="S55" s="1"/>
      <c r="T55" s="1"/>
      <c r="U55" s="1"/>
    </row>
    <row r="56" spans="2:21">
      <c r="B56" t="str">
        <f t="shared" si="0"/>
        <v/>
      </c>
      <c r="C56" s="49">
        <f>IF(D11="","-",+C55+1)</f>
        <v>2052</v>
      </c>
      <c r="D56" s="54">
        <v>0</v>
      </c>
      <c r="E56" s="377">
        <f t="shared" si="13"/>
        <v>0</v>
      </c>
      <c r="F56" s="54">
        <f t="shared" si="14"/>
        <v>0</v>
      </c>
      <c r="G56" s="378">
        <f t="shared" si="15"/>
        <v>0</v>
      </c>
      <c r="H56" s="359">
        <f t="shared" si="16"/>
        <v>0</v>
      </c>
      <c r="I56" s="51">
        <f t="shared" si="6"/>
        <v>0</v>
      </c>
      <c r="J56" s="51"/>
      <c r="K56" s="112"/>
      <c r="L56" s="53">
        <f t="shared" si="2"/>
        <v>0</v>
      </c>
      <c r="M56" s="112"/>
      <c r="N56" s="53">
        <f t="shared" si="4"/>
        <v>0</v>
      </c>
      <c r="O56" s="53">
        <f t="shared" si="5"/>
        <v>0</v>
      </c>
      <c r="P56" s="1"/>
      <c r="R56" s="1"/>
      <c r="S56" s="1"/>
      <c r="T56" s="1"/>
      <c r="U56" s="1"/>
    </row>
    <row r="57" spans="2:21">
      <c r="B57" t="str">
        <f t="shared" si="0"/>
        <v/>
      </c>
      <c r="C57" s="49">
        <f>IF(D11="","-",+C56+1)</f>
        <v>2053</v>
      </c>
      <c r="D57" s="54">
        <v>0</v>
      </c>
      <c r="E57" s="377">
        <f t="shared" si="13"/>
        <v>0</v>
      </c>
      <c r="F57" s="54">
        <f t="shared" si="14"/>
        <v>0</v>
      </c>
      <c r="G57" s="378">
        <f t="shared" si="15"/>
        <v>0</v>
      </c>
      <c r="H57" s="359">
        <f t="shared" si="16"/>
        <v>0</v>
      </c>
      <c r="I57" s="51">
        <f t="shared" si="6"/>
        <v>0</v>
      </c>
      <c r="J57" s="51"/>
      <c r="K57" s="112"/>
      <c r="L57" s="53">
        <f t="shared" si="2"/>
        <v>0</v>
      </c>
      <c r="M57" s="112"/>
      <c r="N57" s="53">
        <f t="shared" si="4"/>
        <v>0</v>
      </c>
      <c r="O57" s="53">
        <f t="shared" si="5"/>
        <v>0</v>
      </c>
      <c r="P57" s="1"/>
      <c r="R57" s="1"/>
      <c r="S57" s="1"/>
      <c r="T57" s="1"/>
      <c r="U57" s="1"/>
    </row>
    <row r="58" spans="2:21">
      <c r="B58" t="str">
        <f t="shared" si="0"/>
        <v/>
      </c>
      <c r="C58" s="49">
        <f>IF(D11="","-",+C57+1)</f>
        <v>2054</v>
      </c>
      <c r="D58" s="54">
        <v>0</v>
      </c>
      <c r="E58" s="377">
        <f t="shared" si="13"/>
        <v>0</v>
      </c>
      <c r="F58" s="54">
        <f t="shared" si="14"/>
        <v>0</v>
      </c>
      <c r="G58" s="378">
        <f t="shared" si="15"/>
        <v>0</v>
      </c>
      <c r="H58" s="359">
        <f t="shared" si="16"/>
        <v>0</v>
      </c>
      <c r="I58" s="51">
        <f t="shared" si="6"/>
        <v>0</v>
      </c>
      <c r="J58" s="51"/>
      <c r="K58" s="112"/>
      <c r="L58" s="53">
        <f t="shared" si="2"/>
        <v>0</v>
      </c>
      <c r="M58" s="112"/>
      <c r="N58" s="53">
        <f t="shared" si="4"/>
        <v>0</v>
      </c>
      <c r="O58" s="53">
        <f t="shared" si="5"/>
        <v>0</v>
      </c>
      <c r="P58" s="1"/>
      <c r="R58" s="1"/>
      <c r="S58" s="1"/>
      <c r="T58" s="1"/>
      <c r="U58" s="1"/>
    </row>
    <row r="59" spans="2:21">
      <c r="B59" t="str">
        <f t="shared" si="0"/>
        <v/>
      </c>
      <c r="C59" s="49">
        <f>IF(D11="","-",+C58+1)</f>
        <v>2055</v>
      </c>
      <c r="D59" s="54">
        <v>0</v>
      </c>
      <c r="E59" s="377">
        <f t="shared" si="13"/>
        <v>0</v>
      </c>
      <c r="F59" s="54">
        <f t="shared" si="14"/>
        <v>0</v>
      </c>
      <c r="G59" s="378">
        <f t="shared" si="15"/>
        <v>0</v>
      </c>
      <c r="H59" s="359">
        <f t="shared" si="16"/>
        <v>0</v>
      </c>
      <c r="I59" s="51">
        <f t="shared" si="6"/>
        <v>0</v>
      </c>
      <c r="J59" s="51"/>
      <c r="K59" s="112"/>
      <c r="L59" s="53">
        <f t="shared" si="2"/>
        <v>0</v>
      </c>
      <c r="M59" s="112"/>
      <c r="N59" s="53">
        <f t="shared" si="4"/>
        <v>0</v>
      </c>
      <c r="O59" s="53">
        <f t="shared" si="5"/>
        <v>0</v>
      </c>
      <c r="P59" s="1"/>
      <c r="R59" s="1"/>
      <c r="S59" s="1"/>
      <c r="T59" s="1"/>
      <c r="U59" s="1"/>
    </row>
    <row r="60" spans="2:21">
      <c r="B60" t="str">
        <f t="shared" si="0"/>
        <v/>
      </c>
      <c r="C60" s="49">
        <f>IF(D11="","-",+C59+1)</f>
        <v>2056</v>
      </c>
      <c r="D60" s="54">
        <v>0</v>
      </c>
      <c r="E60" s="377">
        <f t="shared" si="13"/>
        <v>0</v>
      </c>
      <c r="F60" s="54">
        <f t="shared" si="14"/>
        <v>0</v>
      </c>
      <c r="G60" s="378">
        <f t="shared" si="15"/>
        <v>0</v>
      </c>
      <c r="H60" s="359">
        <f t="shared" si="16"/>
        <v>0</v>
      </c>
      <c r="I60" s="51">
        <f t="shared" si="6"/>
        <v>0</v>
      </c>
      <c r="J60" s="51"/>
      <c r="K60" s="112"/>
      <c r="L60" s="53">
        <f t="shared" si="2"/>
        <v>0</v>
      </c>
      <c r="M60" s="112"/>
      <c r="N60" s="53">
        <f t="shared" si="4"/>
        <v>0</v>
      </c>
      <c r="O60" s="53">
        <f t="shared" si="5"/>
        <v>0</v>
      </c>
      <c r="P60" s="1"/>
      <c r="R60" s="1"/>
      <c r="S60" s="1"/>
      <c r="T60" s="1"/>
      <c r="U60" s="1"/>
    </row>
    <row r="61" spans="2:21">
      <c r="B61" t="str">
        <f t="shared" si="0"/>
        <v/>
      </c>
      <c r="C61" s="49">
        <f>IF(D11="","-",+C60+1)</f>
        <v>2057</v>
      </c>
      <c r="D61" s="54">
        <v>0</v>
      </c>
      <c r="E61" s="377">
        <f t="shared" si="13"/>
        <v>0</v>
      </c>
      <c r="F61" s="54">
        <f t="shared" si="14"/>
        <v>0</v>
      </c>
      <c r="G61" s="378">
        <f t="shared" si="15"/>
        <v>0</v>
      </c>
      <c r="H61" s="359">
        <f t="shared" si="16"/>
        <v>0</v>
      </c>
      <c r="I61" s="51">
        <f t="shared" si="6"/>
        <v>0</v>
      </c>
      <c r="J61" s="51"/>
      <c r="K61" s="112"/>
      <c r="L61" s="53">
        <f t="shared" si="2"/>
        <v>0</v>
      </c>
      <c r="M61" s="112"/>
      <c r="N61" s="53">
        <f t="shared" si="4"/>
        <v>0</v>
      </c>
      <c r="O61" s="53">
        <f t="shared" si="5"/>
        <v>0</v>
      </c>
      <c r="P61" s="1"/>
      <c r="R61" s="1"/>
      <c r="S61" s="1"/>
      <c r="T61" s="1"/>
      <c r="U61" s="1"/>
    </row>
    <row r="62" spans="2:21">
      <c r="B62" t="str">
        <f t="shared" si="0"/>
        <v/>
      </c>
      <c r="C62" s="49">
        <f>IF(D11="","-",+C61+1)</f>
        <v>2058</v>
      </c>
      <c r="D62" s="54">
        <v>0</v>
      </c>
      <c r="E62" s="377">
        <f t="shared" si="13"/>
        <v>0</v>
      </c>
      <c r="F62" s="54">
        <f t="shared" si="14"/>
        <v>0</v>
      </c>
      <c r="G62" s="378">
        <f t="shared" si="15"/>
        <v>0</v>
      </c>
      <c r="H62" s="359">
        <f t="shared" si="16"/>
        <v>0</v>
      </c>
      <c r="I62" s="51">
        <f t="shared" si="6"/>
        <v>0</v>
      </c>
      <c r="J62" s="51"/>
      <c r="K62" s="112"/>
      <c r="L62" s="53">
        <f t="shared" si="2"/>
        <v>0</v>
      </c>
      <c r="M62" s="112"/>
      <c r="N62" s="53">
        <f t="shared" si="4"/>
        <v>0</v>
      </c>
      <c r="O62" s="53">
        <f t="shared" si="5"/>
        <v>0</v>
      </c>
      <c r="P62" s="1"/>
      <c r="R62" s="1"/>
      <c r="S62" s="1"/>
      <c r="T62" s="1"/>
      <c r="U62" s="1"/>
    </row>
    <row r="63" spans="2:21">
      <c r="B63" t="str">
        <f t="shared" si="0"/>
        <v/>
      </c>
      <c r="C63" s="49">
        <f>IF(D11="","-",+C62+1)</f>
        <v>2059</v>
      </c>
      <c r="D63" s="54">
        <v>0</v>
      </c>
      <c r="E63" s="377">
        <f t="shared" si="13"/>
        <v>0</v>
      </c>
      <c r="F63" s="54">
        <f t="shared" si="14"/>
        <v>0</v>
      </c>
      <c r="G63" s="378">
        <f t="shared" si="15"/>
        <v>0</v>
      </c>
      <c r="H63" s="359">
        <f t="shared" si="16"/>
        <v>0</v>
      </c>
      <c r="I63" s="51">
        <f t="shared" si="6"/>
        <v>0</v>
      </c>
      <c r="J63" s="51"/>
      <c r="K63" s="112"/>
      <c r="L63" s="53">
        <f t="shared" si="2"/>
        <v>0</v>
      </c>
      <c r="M63" s="112"/>
      <c r="N63" s="53">
        <f t="shared" si="4"/>
        <v>0</v>
      </c>
      <c r="O63" s="53">
        <f t="shared" si="5"/>
        <v>0</v>
      </c>
      <c r="P63" s="1"/>
      <c r="R63" s="1"/>
      <c r="S63" s="1"/>
      <c r="T63" s="1"/>
      <c r="U63" s="1"/>
    </row>
    <row r="64" spans="2:21">
      <c r="B64" t="str">
        <f t="shared" si="0"/>
        <v/>
      </c>
      <c r="C64" s="49">
        <f>IF(D11="","-",+C63+1)</f>
        <v>2060</v>
      </c>
      <c r="D64" s="54">
        <v>0</v>
      </c>
      <c r="E64" s="377">
        <f t="shared" si="13"/>
        <v>0</v>
      </c>
      <c r="F64" s="54">
        <f t="shared" si="14"/>
        <v>0</v>
      </c>
      <c r="G64" s="378">
        <f t="shared" si="15"/>
        <v>0</v>
      </c>
      <c r="H64" s="359">
        <f t="shared" si="16"/>
        <v>0</v>
      </c>
      <c r="I64" s="51">
        <f t="shared" si="6"/>
        <v>0</v>
      </c>
      <c r="J64" s="51"/>
      <c r="K64" s="112"/>
      <c r="L64" s="53">
        <f t="shared" si="2"/>
        <v>0</v>
      </c>
      <c r="M64" s="112"/>
      <c r="N64" s="53">
        <f t="shared" si="4"/>
        <v>0</v>
      </c>
      <c r="O64" s="53">
        <f t="shared" si="5"/>
        <v>0</v>
      </c>
      <c r="P64" s="1"/>
      <c r="R64" s="1"/>
      <c r="S64" s="1"/>
      <c r="T64" s="1"/>
      <c r="U64" s="1"/>
    </row>
    <row r="65" spans="2:21">
      <c r="B65" t="str">
        <f t="shared" si="0"/>
        <v/>
      </c>
      <c r="C65" s="49">
        <f>IF(D11="","-",+C64+1)</f>
        <v>2061</v>
      </c>
      <c r="D65" s="54">
        <v>0</v>
      </c>
      <c r="E65" s="377">
        <f t="shared" si="13"/>
        <v>0</v>
      </c>
      <c r="F65" s="54">
        <f t="shared" si="14"/>
        <v>0</v>
      </c>
      <c r="G65" s="378">
        <f t="shared" si="15"/>
        <v>0</v>
      </c>
      <c r="H65" s="359">
        <f t="shared" si="16"/>
        <v>0</v>
      </c>
      <c r="I65" s="51">
        <f t="shared" si="6"/>
        <v>0</v>
      </c>
      <c r="J65" s="51"/>
      <c r="K65" s="112"/>
      <c r="L65" s="53">
        <f t="shared" si="2"/>
        <v>0</v>
      </c>
      <c r="M65" s="112"/>
      <c r="N65" s="53">
        <f t="shared" si="4"/>
        <v>0</v>
      </c>
      <c r="O65" s="53">
        <f t="shared" si="5"/>
        <v>0</v>
      </c>
      <c r="P65" s="1"/>
      <c r="R65" s="1"/>
      <c r="S65" s="1"/>
      <c r="T65" s="1"/>
      <c r="U65" s="1"/>
    </row>
    <row r="66" spans="2:21">
      <c r="B66" t="str">
        <f t="shared" si="0"/>
        <v/>
      </c>
      <c r="C66" s="49">
        <f>IF(D11="","-",+C65+1)</f>
        <v>2062</v>
      </c>
      <c r="D66" s="54">
        <v>0</v>
      </c>
      <c r="E66" s="377">
        <f t="shared" si="13"/>
        <v>0</v>
      </c>
      <c r="F66" s="54">
        <f t="shared" si="14"/>
        <v>0</v>
      </c>
      <c r="G66" s="378">
        <f t="shared" si="15"/>
        <v>0</v>
      </c>
      <c r="H66" s="359">
        <f t="shared" si="16"/>
        <v>0</v>
      </c>
      <c r="I66" s="51">
        <f t="shared" si="6"/>
        <v>0</v>
      </c>
      <c r="J66" s="51"/>
      <c r="K66" s="112"/>
      <c r="L66" s="53">
        <f t="shared" si="2"/>
        <v>0</v>
      </c>
      <c r="M66" s="112"/>
      <c r="N66" s="53">
        <f t="shared" si="4"/>
        <v>0</v>
      </c>
      <c r="O66" s="53">
        <f t="shared" si="5"/>
        <v>0</v>
      </c>
      <c r="P66" s="1"/>
      <c r="R66" s="1"/>
      <c r="S66" s="1"/>
      <c r="T66" s="1"/>
      <c r="U66" s="1"/>
    </row>
    <row r="67" spans="2:21">
      <c r="B67" t="str">
        <f t="shared" si="0"/>
        <v/>
      </c>
      <c r="C67" s="49">
        <f>IF(D11="","-",+C66+1)</f>
        <v>2063</v>
      </c>
      <c r="D67" s="54">
        <v>0</v>
      </c>
      <c r="E67" s="377">
        <f t="shared" si="13"/>
        <v>0</v>
      </c>
      <c r="F67" s="54">
        <f t="shared" si="14"/>
        <v>0</v>
      </c>
      <c r="G67" s="378">
        <f t="shared" si="15"/>
        <v>0</v>
      </c>
      <c r="H67" s="359">
        <f t="shared" si="16"/>
        <v>0</v>
      </c>
      <c r="I67" s="51">
        <f t="shared" si="6"/>
        <v>0</v>
      </c>
      <c r="J67" s="51"/>
      <c r="K67" s="112"/>
      <c r="L67" s="53">
        <f t="shared" si="2"/>
        <v>0</v>
      </c>
      <c r="M67" s="112"/>
      <c r="N67" s="53">
        <f t="shared" si="4"/>
        <v>0</v>
      </c>
      <c r="O67" s="53">
        <f t="shared" si="5"/>
        <v>0</v>
      </c>
      <c r="P67" s="1"/>
      <c r="R67" s="1"/>
      <c r="S67" s="1"/>
      <c r="T67" s="1"/>
      <c r="U67" s="1"/>
    </row>
    <row r="68" spans="2:21">
      <c r="B68" t="str">
        <f t="shared" si="0"/>
        <v/>
      </c>
      <c r="C68" s="49">
        <f>IF(D11="","-",+C67+1)</f>
        <v>2064</v>
      </c>
      <c r="D68" s="54">
        <v>0</v>
      </c>
      <c r="E68" s="377">
        <f t="shared" si="13"/>
        <v>0</v>
      </c>
      <c r="F68" s="54">
        <f t="shared" si="14"/>
        <v>0</v>
      </c>
      <c r="G68" s="378">
        <f t="shared" si="15"/>
        <v>0</v>
      </c>
      <c r="H68" s="359">
        <f t="shared" si="16"/>
        <v>0</v>
      </c>
      <c r="I68" s="51">
        <f t="shared" si="6"/>
        <v>0</v>
      </c>
      <c r="J68" s="51"/>
      <c r="K68" s="112"/>
      <c r="L68" s="53">
        <f t="shared" si="2"/>
        <v>0</v>
      </c>
      <c r="M68" s="112"/>
      <c r="N68" s="53">
        <f t="shared" si="4"/>
        <v>0</v>
      </c>
      <c r="O68" s="53">
        <f t="shared" si="5"/>
        <v>0</v>
      </c>
      <c r="P68" s="1"/>
      <c r="R68" s="1"/>
      <c r="S68" s="1"/>
      <c r="T68" s="1"/>
      <c r="U68" s="1"/>
    </row>
    <row r="69" spans="2:21">
      <c r="B69" t="str">
        <f t="shared" si="0"/>
        <v/>
      </c>
      <c r="C69" s="49">
        <f>IF(D11="","-",+C68+1)</f>
        <v>2065</v>
      </c>
      <c r="D69" s="54">
        <v>0</v>
      </c>
      <c r="E69" s="377">
        <f t="shared" si="13"/>
        <v>0</v>
      </c>
      <c r="F69" s="54">
        <f t="shared" si="14"/>
        <v>0</v>
      </c>
      <c r="G69" s="378">
        <f t="shared" si="15"/>
        <v>0</v>
      </c>
      <c r="H69" s="359">
        <f t="shared" si="16"/>
        <v>0</v>
      </c>
      <c r="I69" s="51">
        <f t="shared" si="6"/>
        <v>0</v>
      </c>
      <c r="J69" s="51"/>
      <c r="K69" s="112"/>
      <c r="L69" s="53">
        <f t="shared" si="2"/>
        <v>0</v>
      </c>
      <c r="M69" s="112"/>
      <c r="N69" s="53">
        <f t="shared" si="4"/>
        <v>0</v>
      </c>
      <c r="O69" s="53">
        <f t="shared" si="5"/>
        <v>0</v>
      </c>
      <c r="P69" s="1"/>
      <c r="R69" s="1"/>
      <c r="S69" s="1"/>
      <c r="T69" s="1"/>
      <c r="U69" s="1"/>
    </row>
    <row r="70" spans="2:21">
      <c r="B70" t="str">
        <f t="shared" si="0"/>
        <v/>
      </c>
      <c r="C70" s="49">
        <f>IF(D11="","-",+C69+1)</f>
        <v>2066</v>
      </c>
      <c r="D70" s="54">
        <v>0</v>
      </c>
      <c r="E70" s="377">
        <f t="shared" si="13"/>
        <v>0</v>
      </c>
      <c r="F70" s="54">
        <f t="shared" si="14"/>
        <v>0</v>
      </c>
      <c r="G70" s="378">
        <f t="shared" si="15"/>
        <v>0</v>
      </c>
      <c r="H70" s="359">
        <f t="shared" si="16"/>
        <v>0</v>
      </c>
      <c r="I70" s="51">
        <f t="shared" si="6"/>
        <v>0</v>
      </c>
      <c r="J70" s="51"/>
      <c r="K70" s="112"/>
      <c r="L70" s="53">
        <f t="shared" si="2"/>
        <v>0</v>
      </c>
      <c r="M70" s="112"/>
      <c r="N70" s="53">
        <f t="shared" si="4"/>
        <v>0</v>
      </c>
      <c r="O70" s="53">
        <f t="shared" si="5"/>
        <v>0</v>
      </c>
      <c r="P70" s="1"/>
      <c r="R70" s="1"/>
      <c r="S70" s="1"/>
      <c r="T70" s="1"/>
      <c r="U70" s="1"/>
    </row>
    <row r="71" spans="2:21">
      <c r="B71" t="str">
        <f t="shared" si="0"/>
        <v/>
      </c>
      <c r="C71" s="49">
        <f>IF(D11="","-",+C70+1)</f>
        <v>2067</v>
      </c>
      <c r="D71" s="54">
        <v>0</v>
      </c>
      <c r="E71" s="377">
        <f t="shared" si="13"/>
        <v>0</v>
      </c>
      <c r="F71" s="54">
        <f t="shared" si="14"/>
        <v>0</v>
      </c>
      <c r="G71" s="378">
        <f t="shared" si="15"/>
        <v>0</v>
      </c>
      <c r="H71" s="359">
        <f t="shared" si="16"/>
        <v>0</v>
      </c>
      <c r="I71" s="51">
        <f t="shared" si="6"/>
        <v>0</v>
      </c>
      <c r="J71" s="51"/>
      <c r="K71" s="112"/>
      <c r="L71" s="53">
        <f t="shared" si="2"/>
        <v>0</v>
      </c>
      <c r="M71" s="112"/>
      <c r="N71" s="53">
        <f t="shared" si="4"/>
        <v>0</v>
      </c>
      <c r="O71" s="53">
        <f t="shared" si="5"/>
        <v>0</v>
      </c>
      <c r="P71" s="1"/>
      <c r="R71" s="1"/>
      <c r="S71" s="1"/>
      <c r="T71" s="1"/>
      <c r="U71" s="1"/>
    </row>
    <row r="72" spans="2:21">
      <c r="B72" t="str">
        <f t="shared" si="0"/>
        <v/>
      </c>
      <c r="C72" s="49">
        <f>IF(D11="","-",+C71+1)</f>
        <v>2068</v>
      </c>
      <c r="D72" s="54">
        <v>0</v>
      </c>
      <c r="E72" s="377">
        <f t="shared" si="13"/>
        <v>0</v>
      </c>
      <c r="F72" s="54">
        <f t="shared" si="14"/>
        <v>0</v>
      </c>
      <c r="G72" s="378">
        <f t="shared" si="15"/>
        <v>0</v>
      </c>
      <c r="H72" s="359">
        <f t="shared" si="16"/>
        <v>0</v>
      </c>
      <c r="I72" s="51">
        <f t="shared" si="6"/>
        <v>0</v>
      </c>
      <c r="J72" s="51"/>
      <c r="K72" s="112"/>
      <c r="L72" s="53">
        <f t="shared" si="2"/>
        <v>0</v>
      </c>
      <c r="M72" s="112"/>
      <c r="N72" s="53">
        <f t="shared" si="4"/>
        <v>0</v>
      </c>
      <c r="O72" s="53">
        <f t="shared" si="5"/>
        <v>0</v>
      </c>
      <c r="P72" s="1"/>
      <c r="R72" s="1"/>
      <c r="S72" s="1"/>
      <c r="T72" s="1"/>
      <c r="U72" s="1"/>
    </row>
    <row r="73" spans="2:21" ht="13.5" thickBot="1">
      <c r="B73" t="str">
        <f t="shared" si="0"/>
        <v/>
      </c>
      <c r="C73" s="58">
        <f>IF(D11="","-",+C72+1)</f>
        <v>2069</v>
      </c>
      <c r="D73" s="54">
        <v>0</v>
      </c>
      <c r="E73" s="377">
        <f t="shared" si="13"/>
        <v>0</v>
      </c>
      <c r="F73" s="54">
        <f t="shared" si="14"/>
        <v>0</v>
      </c>
      <c r="G73" s="378">
        <f t="shared" si="15"/>
        <v>0</v>
      </c>
      <c r="H73" s="359">
        <f t="shared" si="16"/>
        <v>0</v>
      </c>
      <c r="I73" s="62">
        <f t="shared" si="6"/>
        <v>0</v>
      </c>
      <c r="J73" s="51"/>
      <c r="K73" s="113"/>
      <c r="L73" s="63">
        <f t="shared" si="2"/>
        <v>0</v>
      </c>
      <c r="M73" s="113"/>
      <c r="N73" s="63">
        <f t="shared" si="4"/>
        <v>0</v>
      </c>
      <c r="O73" s="63">
        <f t="shared" si="5"/>
        <v>0</v>
      </c>
      <c r="P73" s="1"/>
      <c r="R73" s="1"/>
      <c r="S73" s="1"/>
      <c r="T73" s="1"/>
      <c r="U73" s="1"/>
    </row>
    <row r="74" spans="2:21">
      <c r="C74" s="11" t="s">
        <v>75</v>
      </c>
      <c r="D74" s="242"/>
      <c r="E74" s="242">
        <f>SUM(E17:E73)</f>
        <v>332473.56066177262</v>
      </c>
      <c r="F74" s="242"/>
      <c r="G74" s="242">
        <f>SUM(G17:G73)</f>
        <v>2202085.102043014</v>
      </c>
      <c r="H74" s="242">
        <f>SUM(H17:H73)</f>
        <v>2202085.102043014</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13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0</v>
      </c>
      <c r="N88" s="396">
        <f>IF(J93&lt;D11,0,VLOOKUP(J93,C17:O73,11))</f>
        <v>0</v>
      </c>
      <c r="O88" s="68">
        <f>+N88-M88</f>
        <v>0</v>
      </c>
      <c r="P88" s="1"/>
      <c r="Q88" s="1"/>
      <c r="R88" s="1"/>
      <c r="S88" s="1"/>
      <c r="T88" s="1"/>
      <c r="U88" s="1"/>
    </row>
    <row r="89" spans="1:21" ht="15.75">
      <c r="C89" s="452" t="s">
        <v>267</v>
      </c>
      <c r="D89" s="2"/>
      <c r="E89" s="1"/>
      <c r="F89" s="1"/>
      <c r="G89" s="1"/>
      <c r="H89" s="1"/>
      <c r="I89" s="351"/>
      <c r="J89" s="351"/>
      <c r="K89" s="397"/>
      <c r="L89" s="398" t="s">
        <v>254</v>
      </c>
      <c r="M89" s="399">
        <f>IF(J93&lt;D11,0,VLOOKUP(J93,C100:P155,6))</f>
        <v>0</v>
      </c>
      <c r="N89" s="399">
        <f>IF(J93&lt;D11,0,VLOOKUP(J93,C100:P155,7))</f>
        <v>0</v>
      </c>
      <c r="O89" s="70">
        <f>+N89-M89</f>
        <v>0</v>
      </c>
      <c r="P89" s="1"/>
      <c r="Q89" s="1"/>
      <c r="R89" s="1"/>
      <c r="S89" s="1"/>
      <c r="T89" s="1"/>
      <c r="U89" s="1"/>
    </row>
    <row r="90" spans="1:21" ht="13.5" thickBot="1">
      <c r="C90" s="25" t="s">
        <v>82</v>
      </c>
      <c r="D90" s="96" t="str">
        <f>+D7</f>
        <v>Ellis 138 kV</v>
      </c>
      <c r="E90" s="1"/>
      <c r="F90" s="1"/>
      <c r="G90" s="1"/>
      <c r="H90" s="1"/>
      <c r="I90" s="260"/>
      <c r="J90" s="260"/>
      <c r="K90" s="400"/>
      <c r="L90" s="109" t="s">
        <v>135</v>
      </c>
      <c r="M90" s="401">
        <f>+M89-M88</f>
        <v>0</v>
      </c>
      <c r="N90" s="401">
        <f>+N89-N88</f>
        <v>0</v>
      </c>
      <c r="O90" s="402">
        <f>+O89-O88</f>
        <v>0</v>
      </c>
      <c r="P90" s="1"/>
      <c r="Q90" s="1"/>
      <c r="R90" s="1"/>
      <c r="S90" s="1"/>
      <c r="T90" s="1"/>
      <c r="U90" s="1"/>
    </row>
    <row r="91" spans="1:21" ht="13.5" thickBot="1">
      <c r="C91" s="29"/>
      <c r="D91" s="444" t="str">
        <f>IF(D8="","",D8)</f>
        <v>***Sch. 11 recovery commenced in 2015 rate year***</v>
      </c>
      <c r="E91" s="11"/>
      <c r="F91" s="11"/>
      <c r="G91" s="11"/>
      <c r="H91" s="10"/>
      <c r="I91" s="260"/>
      <c r="J91" s="260"/>
      <c r="K91" s="242"/>
      <c r="L91" s="260"/>
      <c r="M91" s="260"/>
      <c r="N91" s="260"/>
      <c r="O91" s="242"/>
      <c r="P91" s="1"/>
      <c r="Q91" s="1"/>
      <c r="R91" s="1"/>
      <c r="S91" s="1"/>
      <c r="T91" s="1"/>
      <c r="U91" s="1"/>
    </row>
    <row r="92" spans="1:21" ht="13.5" thickBot="1">
      <c r="C92" s="74" t="s">
        <v>83</v>
      </c>
      <c r="D92" s="88" t="str">
        <f>+D9</f>
        <v>TP2012055</v>
      </c>
      <c r="E92" s="75" t="s">
        <v>310</v>
      </c>
      <c r="F92" s="527">
        <f>F9</f>
        <v>30770</v>
      </c>
      <c r="G92" s="75"/>
      <c r="H92" s="75"/>
      <c r="I92" s="75"/>
      <c r="J92" s="75"/>
      <c r="Q92" s="1"/>
      <c r="R92" s="1"/>
      <c r="S92" s="1"/>
      <c r="T92" s="1"/>
      <c r="U92" s="1"/>
    </row>
    <row r="93" spans="1:21">
      <c r="C93" s="34" t="s">
        <v>49</v>
      </c>
      <c r="D93" s="358">
        <v>0</v>
      </c>
      <c r="E93" s="1" t="s">
        <v>84</v>
      </c>
      <c r="H93" s="2"/>
      <c r="I93" s="2"/>
      <c r="J93" s="36">
        <f>+'OKT.WS.G.BPU.ATRR.True-up'!M16</f>
        <v>2025</v>
      </c>
      <c r="K93" s="33"/>
      <c r="L93" s="242" t="s">
        <v>85</v>
      </c>
      <c r="P93" s="1"/>
      <c r="Q93" s="1"/>
      <c r="R93" s="1"/>
      <c r="S93" s="1"/>
      <c r="T93" s="1"/>
      <c r="U93" s="1"/>
    </row>
    <row r="94" spans="1:21">
      <c r="C94" s="34" t="s">
        <v>52</v>
      </c>
      <c r="D94" s="85">
        <f>D11</f>
        <v>2013</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85">
        <f>D12</f>
        <v>10</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0</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C100" s="49">
        <f>IF(D94= "","-",D94)</f>
        <v>2013</v>
      </c>
      <c r="D100" s="11"/>
      <c r="E100" s="378"/>
      <c r="F100" s="54"/>
      <c r="G100" s="81"/>
      <c r="H100" s="81"/>
      <c r="I100" s="81"/>
      <c r="J100" s="53"/>
      <c r="K100" s="53"/>
      <c r="L100" s="114"/>
      <c r="M100" s="52">
        <f t="shared" ref="M100:M131" si="17">IF(L100&lt;&gt;0,+H100-L100,0)</f>
        <v>0</v>
      </c>
      <c r="N100" s="114"/>
      <c r="O100" s="52">
        <f t="shared" ref="O100:O131" si="18">IF(N100&lt;&gt;0,+I100-N100,0)</f>
        <v>0</v>
      </c>
      <c r="P100" s="52">
        <f t="shared" ref="P100:P131" si="19">+O100-M100</f>
        <v>0</v>
      </c>
      <c r="Q100" s="1"/>
      <c r="R100" s="1"/>
      <c r="S100" s="1"/>
      <c r="T100" s="1"/>
      <c r="U100" s="1"/>
    </row>
    <row r="101" spans="1:21">
      <c r="C101" s="49">
        <f>IF(D94="","-",+C100+1)</f>
        <v>2014</v>
      </c>
      <c r="D101" s="11"/>
      <c r="E101" s="377"/>
      <c r="F101" s="54"/>
      <c r="G101" s="54"/>
      <c r="H101" s="445"/>
      <c r="I101" s="446"/>
      <c r="J101" s="53"/>
      <c r="K101" s="53"/>
      <c r="L101" s="376"/>
      <c r="M101" s="53">
        <f t="shared" si="17"/>
        <v>0</v>
      </c>
      <c r="N101" s="376"/>
      <c r="O101" s="53">
        <f t="shared" si="18"/>
        <v>0</v>
      </c>
      <c r="P101" s="53">
        <f t="shared" si="19"/>
        <v>0</v>
      </c>
      <c r="Q101" s="1"/>
      <c r="R101" s="1"/>
      <c r="S101" s="1"/>
      <c r="T101" s="1"/>
      <c r="U101" s="1"/>
    </row>
    <row r="102" spans="1:21">
      <c r="B102" t="str">
        <f t="shared" ref="B102:B155" si="20">IF(D102=F101,"","IU")</f>
        <v>IU</v>
      </c>
      <c r="C102" s="49">
        <f>IF(D94="","-",+C101+1)</f>
        <v>2015</v>
      </c>
      <c r="D102" s="371">
        <v>4004216.6870407565</v>
      </c>
      <c r="E102" s="373">
        <v>85139.5</v>
      </c>
      <c r="F102" s="375">
        <v>3919077.1870407565</v>
      </c>
      <c r="G102" s="375">
        <v>3961646.9370407565</v>
      </c>
      <c r="H102" s="373">
        <v>526187.38978732098</v>
      </c>
      <c r="I102" s="374">
        <v>526187.38978732098</v>
      </c>
      <c r="J102" s="53">
        <v>0</v>
      </c>
      <c r="K102" s="53"/>
      <c r="L102" s="376">
        <f>H102</f>
        <v>526187.38978732098</v>
      </c>
      <c r="M102" s="53">
        <f>IF(L102&lt;&gt;0,+H102-L102,0)</f>
        <v>0</v>
      </c>
      <c r="N102" s="376">
        <f>I102</f>
        <v>526187.38978732098</v>
      </c>
      <c r="O102" s="53">
        <f t="shared" si="18"/>
        <v>0</v>
      </c>
      <c r="P102" s="53">
        <f t="shared" si="19"/>
        <v>0</v>
      </c>
      <c r="Q102" s="1"/>
      <c r="R102" s="1"/>
      <c r="S102" s="1"/>
      <c r="T102" s="1"/>
      <c r="U102" s="1"/>
    </row>
    <row r="103" spans="1:21">
      <c r="B103" t="str">
        <f t="shared" si="20"/>
        <v>IU</v>
      </c>
      <c r="C103" s="49">
        <f>IF(D94="","-",+C102+1)</f>
        <v>2016</v>
      </c>
      <c r="D103" s="371">
        <v>4714898.5</v>
      </c>
      <c r="E103" s="373">
        <v>94118.392156862741</v>
      </c>
      <c r="F103" s="375">
        <v>4620780.1078431373</v>
      </c>
      <c r="G103" s="375">
        <v>4667839.3039215691</v>
      </c>
      <c r="H103" s="373">
        <v>599969.61415819218</v>
      </c>
      <c r="I103" s="374">
        <v>599969.61415819218</v>
      </c>
      <c r="J103" s="53">
        <f>+I103-H103</f>
        <v>0</v>
      </c>
      <c r="K103" s="53"/>
      <c r="L103" s="376">
        <f>H103</f>
        <v>599969.61415819218</v>
      </c>
      <c r="M103" s="53">
        <f>IF(L103&lt;&gt;0,+H103-L103,0)</f>
        <v>0</v>
      </c>
      <c r="N103" s="376">
        <f>I103</f>
        <v>599969.61415819218</v>
      </c>
      <c r="O103" s="53">
        <f>IF(N103&lt;&gt;0,+I103-N103,0)</f>
        <v>0</v>
      </c>
      <c r="P103" s="53">
        <f>+O103-M103</f>
        <v>0</v>
      </c>
      <c r="Q103" s="1"/>
      <c r="R103" s="1"/>
      <c r="S103" s="1"/>
      <c r="T103" s="1"/>
      <c r="U103" s="1"/>
    </row>
    <row r="104" spans="1:21">
      <c r="B104" t="str">
        <f t="shared" si="20"/>
        <v>IU</v>
      </c>
      <c r="C104" s="49">
        <f>IF(D94="","-",+C103+1)</f>
        <v>2017</v>
      </c>
      <c r="D104" s="371">
        <v>4637856.1078431373</v>
      </c>
      <c r="E104" s="373">
        <v>120427.85</v>
      </c>
      <c r="F104" s="375">
        <v>4517428.2578431377</v>
      </c>
      <c r="G104" s="375">
        <v>4577642.1828431375</v>
      </c>
      <c r="H104" s="373">
        <v>657549.4515750818</v>
      </c>
      <c r="I104" s="374">
        <v>657549.4515750818</v>
      </c>
      <c r="J104" s="53">
        <v>0</v>
      </c>
      <c r="K104" s="53"/>
      <c r="L104" s="376">
        <f>H104</f>
        <v>657549.4515750818</v>
      </c>
      <c r="M104" s="53">
        <f>IF(L104&lt;&gt;0,+H104-L104,0)</f>
        <v>0</v>
      </c>
      <c r="N104" s="376">
        <f>I104</f>
        <v>657549.4515750818</v>
      </c>
      <c r="O104" s="53">
        <f>IF(N104&lt;&gt;0,+I104-N104,0)</f>
        <v>0</v>
      </c>
      <c r="P104" s="53">
        <f>+O104-M104</f>
        <v>0</v>
      </c>
      <c r="Q104" s="1"/>
      <c r="R104" s="1"/>
      <c r="S104" s="1"/>
      <c r="T104" s="1"/>
      <c r="U104" s="1"/>
    </row>
    <row r="105" spans="1:21">
      <c r="B105" t="str">
        <f t="shared" si="20"/>
        <v/>
      </c>
      <c r="C105" s="49">
        <f>IF(D94="","-",+C104+1)</f>
        <v>2018</v>
      </c>
      <c r="D105" s="371">
        <v>4517428.2578431377</v>
      </c>
      <c r="E105" s="373">
        <v>133808.72222222222</v>
      </c>
      <c r="F105" s="375">
        <v>4383619.5356209157</v>
      </c>
      <c r="G105" s="375">
        <v>4450523.8967320267</v>
      </c>
      <c r="H105" s="373">
        <v>603616.92453524831</v>
      </c>
      <c r="I105" s="374">
        <v>603616.92453524831</v>
      </c>
      <c r="J105" s="53">
        <f t="shared" ref="J105:J155" si="21">+I105-H105</f>
        <v>0</v>
      </c>
      <c r="K105" s="53"/>
      <c r="L105" s="376">
        <f>H105</f>
        <v>603616.92453524831</v>
      </c>
      <c r="M105" s="53">
        <f>IF(L105&lt;&gt;0,+H105-L105,0)</f>
        <v>0</v>
      </c>
      <c r="N105" s="376">
        <f>I105</f>
        <v>603616.92453524831</v>
      </c>
      <c r="O105" s="53">
        <f>IF(N105&lt;&gt;0,+I105-N105,0)</f>
        <v>0</v>
      </c>
      <c r="P105" s="53">
        <f>+O105-M105</f>
        <v>0</v>
      </c>
      <c r="Q105" s="1"/>
      <c r="R105" s="1"/>
      <c r="S105" s="1"/>
      <c r="T105" s="1"/>
      <c r="U105" s="1"/>
    </row>
    <row r="106" spans="1:21">
      <c r="B106" t="str">
        <f t="shared" si="20"/>
        <v>IU</v>
      </c>
      <c r="C106" s="49">
        <f>IF(D94="","-",+C105+1)</f>
        <v>2019</v>
      </c>
      <c r="D106" s="371"/>
      <c r="E106" s="373"/>
      <c r="F106" s="375"/>
      <c r="G106" s="375"/>
      <c r="H106" s="373"/>
      <c r="I106" s="374"/>
      <c r="J106" s="53">
        <f t="shared" si="21"/>
        <v>0</v>
      </c>
      <c r="K106" s="53"/>
      <c r="L106" s="376">
        <f>H106</f>
        <v>0</v>
      </c>
      <c r="M106" s="53">
        <f>IF(L106&lt;&gt;0,+H106-L106,0)</f>
        <v>0</v>
      </c>
      <c r="N106" s="376">
        <f>I106</f>
        <v>0</v>
      </c>
      <c r="O106" s="53">
        <f t="shared" si="18"/>
        <v>0</v>
      </c>
      <c r="P106" s="53">
        <f t="shared" si="19"/>
        <v>0</v>
      </c>
      <c r="Q106" s="1"/>
      <c r="R106" s="1"/>
      <c r="S106" s="1"/>
      <c r="T106" s="1"/>
      <c r="U106" s="1"/>
    </row>
    <row r="107" spans="1:21">
      <c r="B107" t="str">
        <f t="shared" si="20"/>
        <v/>
      </c>
      <c r="C107" s="49">
        <f>IF(D94="","-",+C106+1)</f>
        <v>2020</v>
      </c>
      <c r="D107" s="11"/>
      <c r="E107" s="447"/>
      <c r="F107" s="54"/>
      <c r="G107" s="54"/>
      <c r="H107" s="459"/>
      <c r="I107" s="448"/>
      <c r="J107" s="53">
        <f t="shared" si="21"/>
        <v>0</v>
      </c>
      <c r="K107" s="53"/>
      <c r="L107" s="112"/>
      <c r="M107" s="53">
        <f t="shared" si="17"/>
        <v>0</v>
      </c>
      <c r="N107" s="112"/>
      <c r="O107" s="53">
        <f t="shared" si="18"/>
        <v>0</v>
      </c>
      <c r="P107" s="53">
        <f t="shared" si="19"/>
        <v>0</v>
      </c>
      <c r="Q107" s="1"/>
      <c r="R107" s="1"/>
      <c r="S107" s="1"/>
      <c r="T107" s="1"/>
      <c r="U107" s="1"/>
    </row>
    <row r="108" spans="1:21">
      <c r="B108" t="str">
        <f t="shared" si="20"/>
        <v/>
      </c>
      <c r="C108" s="49">
        <f>IF(D94="","-",+C107+1)</f>
        <v>2021</v>
      </c>
      <c r="D108" s="11"/>
      <c r="E108" s="447"/>
      <c r="F108" s="54"/>
      <c r="G108" s="54"/>
      <c r="H108" s="459"/>
      <c r="I108" s="448"/>
      <c r="J108" s="53">
        <f t="shared" si="21"/>
        <v>0</v>
      </c>
      <c r="K108" s="53"/>
      <c r="L108" s="112"/>
      <c r="M108" s="53">
        <f t="shared" si="17"/>
        <v>0</v>
      </c>
      <c r="N108" s="112"/>
      <c r="O108" s="53">
        <f t="shared" si="18"/>
        <v>0</v>
      </c>
      <c r="P108" s="53">
        <f t="shared" si="19"/>
        <v>0</v>
      </c>
      <c r="Q108" s="1"/>
      <c r="R108" s="1"/>
      <c r="S108" s="1"/>
      <c r="T108" s="1"/>
      <c r="U108" s="1"/>
    </row>
    <row r="109" spans="1:21">
      <c r="B109" t="str">
        <f t="shared" si="20"/>
        <v/>
      </c>
      <c r="C109" s="49">
        <f>IF(D94="","-",+C108+1)</f>
        <v>2022</v>
      </c>
      <c r="D109" s="11"/>
      <c r="E109" s="447"/>
      <c r="F109" s="54"/>
      <c r="G109" s="54"/>
      <c r="H109" s="459"/>
      <c r="I109" s="448"/>
      <c r="J109" s="53">
        <f t="shared" si="21"/>
        <v>0</v>
      </c>
      <c r="K109" s="53"/>
      <c r="L109" s="112"/>
      <c r="M109" s="53">
        <f t="shared" si="17"/>
        <v>0</v>
      </c>
      <c r="N109" s="112"/>
      <c r="O109" s="53">
        <f t="shared" si="18"/>
        <v>0</v>
      </c>
      <c r="P109" s="53">
        <f t="shared" si="19"/>
        <v>0</v>
      </c>
      <c r="Q109" s="1"/>
      <c r="R109" s="1"/>
      <c r="S109" s="1"/>
      <c r="T109" s="1"/>
      <c r="U109" s="1"/>
    </row>
    <row r="110" spans="1:21">
      <c r="B110" t="str">
        <f t="shared" si="20"/>
        <v/>
      </c>
      <c r="C110" s="49">
        <f>IF(D94="","-",+C109+1)</f>
        <v>2023</v>
      </c>
      <c r="D110" s="11"/>
      <c r="E110" s="447"/>
      <c r="F110" s="54"/>
      <c r="G110" s="54"/>
      <c r="H110" s="459"/>
      <c r="I110" s="448"/>
      <c r="J110" s="53">
        <f t="shared" si="21"/>
        <v>0</v>
      </c>
      <c r="K110" s="53"/>
      <c r="L110" s="112"/>
      <c r="M110" s="53">
        <f t="shared" si="17"/>
        <v>0</v>
      </c>
      <c r="N110" s="112"/>
      <c r="O110" s="53">
        <f t="shared" si="18"/>
        <v>0</v>
      </c>
      <c r="P110" s="53">
        <f t="shared" si="19"/>
        <v>0</v>
      </c>
      <c r="Q110" s="1"/>
      <c r="R110" s="1"/>
      <c r="S110" s="1"/>
      <c r="T110" s="1"/>
      <c r="U110" s="1"/>
    </row>
    <row r="111" spans="1:21">
      <c r="B111" t="str">
        <f t="shared" si="20"/>
        <v/>
      </c>
      <c r="C111" s="49">
        <f>IF(D94="","-",+C110+1)</f>
        <v>2024</v>
      </c>
      <c r="D111" s="11"/>
      <c r="E111" s="447"/>
      <c r="F111" s="54"/>
      <c r="G111" s="54"/>
      <c r="H111" s="459"/>
      <c r="I111" s="448"/>
      <c r="J111" s="53">
        <f t="shared" si="21"/>
        <v>0</v>
      </c>
      <c r="K111" s="53"/>
      <c r="L111" s="112"/>
      <c r="M111" s="53">
        <f t="shared" si="17"/>
        <v>0</v>
      </c>
      <c r="N111" s="112"/>
      <c r="O111" s="53">
        <f t="shared" si="18"/>
        <v>0</v>
      </c>
      <c r="P111" s="53">
        <f t="shared" si="19"/>
        <v>0</v>
      </c>
      <c r="Q111" s="1"/>
      <c r="R111" s="1"/>
      <c r="S111" s="1"/>
      <c r="T111" s="1"/>
      <c r="U111" s="1"/>
    </row>
    <row r="112" spans="1:21">
      <c r="B112" t="str">
        <f t="shared" si="20"/>
        <v/>
      </c>
      <c r="C112" s="49">
        <f>IF(D94="","-",+C111+1)</f>
        <v>2025</v>
      </c>
      <c r="D112" s="11"/>
      <c r="E112" s="447"/>
      <c r="F112" s="54"/>
      <c r="G112" s="54"/>
      <c r="H112" s="459"/>
      <c r="I112" s="448"/>
      <c r="J112" s="53">
        <f t="shared" si="21"/>
        <v>0</v>
      </c>
      <c r="K112" s="53"/>
      <c r="L112" s="112"/>
      <c r="M112" s="53">
        <f t="shared" si="17"/>
        <v>0</v>
      </c>
      <c r="N112" s="112"/>
      <c r="O112" s="53">
        <f t="shared" si="18"/>
        <v>0</v>
      </c>
      <c r="P112" s="53">
        <f t="shared" si="19"/>
        <v>0</v>
      </c>
      <c r="Q112" s="1"/>
      <c r="R112" s="1"/>
      <c r="S112" s="1"/>
      <c r="T112" s="1"/>
      <c r="U112" s="1"/>
    </row>
    <row r="113" spans="2:21">
      <c r="B113" t="str">
        <f t="shared" si="20"/>
        <v/>
      </c>
      <c r="C113" s="49">
        <f>IF(D94="","-",+C112+1)</f>
        <v>2026</v>
      </c>
      <c r="D113" s="11"/>
      <c r="E113" s="447"/>
      <c r="F113" s="54"/>
      <c r="G113" s="54"/>
      <c r="H113" s="459"/>
      <c r="I113" s="448"/>
      <c r="J113" s="53">
        <f t="shared" si="21"/>
        <v>0</v>
      </c>
      <c r="K113" s="53"/>
      <c r="L113" s="112"/>
      <c r="M113" s="53">
        <f t="shared" si="17"/>
        <v>0</v>
      </c>
      <c r="N113" s="112"/>
      <c r="O113" s="53">
        <f t="shared" si="18"/>
        <v>0</v>
      </c>
      <c r="P113" s="53">
        <f t="shared" si="19"/>
        <v>0</v>
      </c>
      <c r="Q113" s="1"/>
      <c r="R113" s="1"/>
      <c r="S113" s="1"/>
      <c r="T113" s="1"/>
      <c r="U113" s="1"/>
    </row>
    <row r="114" spans="2:21">
      <c r="B114" t="str">
        <f t="shared" si="20"/>
        <v/>
      </c>
      <c r="C114" s="49">
        <f>IF(D94="","-",+C113+1)</f>
        <v>2027</v>
      </c>
      <c r="D114" s="11"/>
      <c r="E114" s="447"/>
      <c r="F114" s="54"/>
      <c r="G114" s="54"/>
      <c r="H114" s="459"/>
      <c r="I114" s="448"/>
      <c r="J114" s="53">
        <f t="shared" si="21"/>
        <v>0</v>
      </c>
      <c r="K114" s="53"/>
      <c r="L114" s="112"/>
      <c r="M114" s="53">
        <f t="shared" si="17"/>
        <v>0</v>
      </c>
      <c r="N114" s="112"/>
      <c r="O114" s="53">
        <f t="shared" si="18"/>
        <v>0</v>
      </c>
      <c r="P114" s="53">
        <f t="shared" si="19"/>
        <v>0</v>
      </c>
      <c r="Q114" s="1"/>
      <c r="R114" s="1"/>
      <c r="S114" s="1"/>
      <c r="T114" s="1"/>
      <c r="U114" s="1"/>
    </row>
    <row r="115" spans="2:21">
      <c r="B115" t="str">
        <f t="shared" si="20"/>
        <v/>
      </c>
      <c r="C115" s="49">
        <f>IF(D94="","-",+C114+1)</f>
        <v>2028</v>
      </c>
      <c r="D115" s="11"/>
      <c r="E115" s="447"/>
      <c r="F115" s="54"/>
      <c r="G115" s="54"/>
      <c r="H115" s="459"/>
      <c r="I115" s="448"/>
      <c r="J115" s="53">
        <f t="shared" si="21"/>
        <v>0</v>
      </c>
      <c r="K115" s="53"/>
      <c r="L115" s="112"/>
      <c r="M115" s="53">
        <f t="shared" si="17"/>
        <v>0</v>
      </c>
      <c r="N115" s="112"/>
      <c r="O115" s="53">
        <f t="shared" si="18"/>
        <v>0</v>
      </c>
      <c r="P115" s="53">
        <f t="shared" si="19"/>
        <v>0</v>
      </c>
      <c r="Q115" s="1"/>
      <c r="R115" s="1"/>
      <c r="S115" s="1"/>
      <c r="T115" s="1"/>
      <c r="U115" s="1"/>
    </row>
    <row r="116" spans="2:21">
      <c r="B116" t="str">
        <f t="shared" si="20"/>
        <v/>
      </c>
      <c r="C116" s="49">
        <f>IF(D94="","-",+C115+1)</f>
        <v>2029</v>
      </c>
      <c r="D116" s="11"/>
      <c r="E116" s="447"/>
      <c r="F116" s="54"/>
      <c r="G116" s="54"/>
      <c r="H116" s="459"/>
      <c r="I116" s="448"/>
      <c r="J116" s="53">
        <f t="shared" si="21"/>
        <v>0</v>
      </c>
      <c r="K116" s="53"/>
      <c r="L116" s="112"/>
      <c r="M116" s="53">
        <f t="shared" si="17"/>
        <v>0</v>
      </c>
      <c r="N116" s="112"/>
      <c r="O116" s="53">
        <f t="shared" si="18"/>
        <v>0</v>
      </c>
      <c r="P116" s="53">
        <f t="shared" si="19"/>
        <v>0</v>
      </c>
      <c r="Q116" s="1"/>
      <c r="R116" s="1"/>
      <c r="S116" s="1"/>
      <c r="T116" s="1"/>
      <c r="U116" s="1"/>
    </row>
    <row r="117" spans="2:21">
      <c r="B117" t="str">
        <f t="shared" si="20"/>
        <v/>
      </c>
      <c r="C117" s="49">
        <f>IF(D94="","-",+C116+1)</f>
        <v>2030</v>
      </c>
      <c r="D117" s="11"/>
      <c r="E117" s="447"/>
      <c r="F117" s="54"/>
      <c r="G117" s="54"/>
      <c r="H117" s="459"/>
      <c r="I117" s="448"/>
      <c r="J117" s="53">
        <f t="shared" si="21"/>
        <v>0</v>
      </c>
      <c r="K117" s="53"/>
      <c r="L117" s="112"/>
      <c r="M117" s="53">
        <f t="shared" si="17"/>
        <v>0</v>
      </c>
      <c r="N117" s="112"/>
      <c r="O117" s="53">
        <f t="shared" si="18"/>
        <v>0</v>
      </c>
      <c r="P117" s="53">
        <f t="shared" si="19"/>
        <v>0</v>
      </c>
      <c r="Q117" s="1"/>
      <c r="R117" s="1"/>
      <c r="S117" s="1"/>
      <c r="T117" s="1"/>
      <c r="U117" s="1"/>
    </row>
    <row r="118" spans="2:21">
      <c r="B118" t="str">
        <f t="shared" si="20"/>
        <v/>
      </c>
      <c r="C118" s="49">
        <f>IF(D94="","-",+C117+1)</f>
        <v>2031</v>
      </c>
      <c r="D118" s="11"/>
      <c r="E118" s="447"/>
      <c r="F118" s="54"/>
      <c r="G118" s="54"/>
      <c r="H118" s="459"/>
      <c r="I118" s="448"/>
      <c r="J118" s="53">
        <f t="shared" si="21"/>
        <v>0</v>
      </c>
      <c r="K118" s="53"/>
      <c r="L118" s="112"/>
      <c r="M118" s="53">
        <f t="shared" si="17"/>
        <v>0</v>
      </c>
      <c r="N118" s="112"/>
      <c r="O118" s="53">
        <f t="shared" si="18"/>
        <v>0</v>
      </c>
      <c r="P118" s="53">
        <f t="shared" si="19"/>
        <v>0</v>
      </c>
      <c r="Q118" s="1"/>
      <c r="R118" s="1"/>
      <c r="S118" s="1"/>
      <c r="T118" s="1"/>
      <c r="U118" s="1"/>
    </row>
    <row r="119" spans="2:21">
      <c r="B119" t="str">
        <f t="shared" si="20"/>
        <v/>
      </c>
      <c r="C119" s="49">
        <f>IF(D94="","-",+C118+1)</f>
        <v>2032</v>
      </c>
      <c r="D119" s="11"/>
      <c r="E119" s="447"/>
      <c r="F119" s="54"/>
      <c r="G119" s="54"/>
      <c r="H119" s="459"/>
      <c r="I119" s="448"/>
      <c r="J119" s="53">
        <f t="shared" si="21"/>
        <v>0</v>
      </c>
      <c r="K119" s="53"/>
      <c r="L119" s="112"/>
      <c r="M119" s="53">
        <f t="shared" si="17"/>
        <v>0</v>
      </c>
      <c r="N119" s="112"/>
      <c r="O119" s="53">
        <f t="shared" si="18"/>
        <v>0</v>
      </c>
      <c r="P119" s="53">
        <f t="shared" si="19"/>
        <v>0</v>
      </c>
      <c r="Q119" s="1"/>
      <c r="R119" s="1"/>
      <c r="S119" s="1"/>
      <c r="T119" s="1"/>
      <c r="U119" s="1"/>
    </row>
    <row r="120" spans="2:21">
      <c r="B120" t="str">
        <f t="shared" si="20"/>
        <v/>
      </c>
      <c r="C120" s="49">
        <f>IF(D94="","-",+C119+1)</f>
        <v>2033</v>
      </c>
      <c r="D120" s="11"/>
      <c r="E120" s="447"/>
      <c r="F120" s="54"/>
      <c r="G120" s="54"/>
      <c r="H120" s="459"/>
      <c r="I120" s="448"/>
      <c r="J120" s="53">
        <f t="shared" si="21"/>
        <v>0</v>
      </c>
      <c r="K120" s="53"/>
      <c r="L120" s="112"/>
      <c r="M120" s="53">
        <f t="shared" si="17"/>
        <v>0</v>
      </c>
      <c r="N120" s="112"/>
      <c r="O120" s="53">
        <f t="shared" si="18"/>
        <v>0</v>
      </c>
      <c r="P120" s="53">
        <f t="shared" si="19"/>
        <v>0</v>
      </c>
      <c r="Q120" s="1"/>
      <c r="R120" s="1"/>
      <c r="S120" s="1"/>
      <c r="T120" s="1"/>
      <c r="U120" s="1"/>
    </row>
    <row r="121" spans="2:21">
      <c r="B121" t="str">
        <f t="shared" si="20"/>
        <v/>
      </c>
      <c r="C121" s="49">
        <f>IF(D94="","-",+C120+1)</f>
        <v>2034</v>
      </c>
      <c r="D121" s="11"/>
      <c r="E121" s="447"/>
      <c r="F121" s="54"/>
      <c r="G121" s="54"/>
      <c r="H121" s="459"/>
      <c r="I121" s="448"/>
      <c r="J121" s="53">
        <f t="shared" si="21"/>
        <v>0</v>
      </c>
      <c r="K121" s="53"/>
      <c r="L121" s="112"/>
      <c r="M121" s="53">
        <f t="shared" si="17"/>
        <v>0</v>
      </c>
      <c r="N121" s="112"/>
      <c r="O121" s="53">
        <f t="shared" si="18"/>
        <v>0</v>
      </c>
      <c r="P121" s="53">
        <f t="shared" si="19"/>
        <v>0</v>
      </c>
      <c r="Q121" s="1"/>
      <c r="R121" s="1"/>
      <c r="S121" s="1"/>
      <c r="T121" s="1"/>
      <c r="U121" s="1"/>
    </row>
    <row r="122" spans="2:21">
      <c r="B122" t="str">
        <f t="shared" si="20"/>
        <v/>
      </c>
      <c r="C122" s="49">
        <f>IF(D94="","-",+C121+1)</f>
        <v>2035</v>
      </c>
      <c r="D122" s="11"/>
      <c r="E122" s="447"/>
      <c r="F122" s="54"/>
      <c r="G122" s="54"/>
      <c r="H122" s="459"/>
      <c r="I122" s="448"/>
      <c r="J122" s="53">
        <f t="shared" si="21"/>
        <v>0</v>
      </c>
      <c r="K122" s="53"/>
      <c r="L122" s="112"/>
      <c r="M122" s="53">
        <f t="shared" si="17"/>
        <v>0</v>
      </c>
      <c r="N122" s="112"/>
      <c r="O122" s="53">
        <f t="shared" si="18"/>
        <v>0</v>
      </c>
      <c r="P122" s="53">
        <f t="shared" si="19"/>
        <v>0</v>
      </c>
      <c r="Q122" s="1"/>
      <c r="R122" s="1"/>
      <c r="S122" s="1"/>
      <c r="T122" s="1"/>
      <c r="U122" s="1"/>
    </row>
    <row r="123" spans="2:21">
      <c r="B123" t="str">
        <f t="shared" si="20"/>
        <v/>
      </c>
      <c r="C123" s="49">
        <f>IF(D94="","-",+C122+1)</f>
        <v>2036</v>
      </c>
      <c r="D123" s="11"/>
      <c r="E123" s="447"/>
      <c r="F123" s="54"/>
      <c r="G123" s="54"/>
      <c r="H123" s="459"/>
      <c r="I123" s="448"/>
      <c r="J123" s="53">
        <f t="shared" si="21"/>
        <v>0</v>
      </c>
      <c r="K123" s="53"/>
      <c r="L123" s="112"/>
      <c r="M123" s="53">
        <f t="shared" si="17"/>
        <v>0</v>
      </c>
      <c r="N123" s="112"/>
      <c r="O123" s="53">
        <f t="shared" si="18"/>
        <v>0</v>
      </c>
      <c r="P123" s="53">
        <f t="shared" si="19"/>
        <v>0</v>
      </c>
      <c r="Q123" s="1"/>
      <c r="R123" s="1"/>
      <c r="S123" s="1"/>
      <c r="T123" s="1"/>
      <c r="U123" s="1"/>
    </row>
    <row r="124" spans="2:21">
      <c r="B124" t="str">
        <f t="shared" si="20"/>
        <v/>
      </c>
      <c r="C124" s="49">
        <f>IF(D94="","-",+C123+1)</f>
        <v>2037</v>
      </c>
      <c r="D124" s="11"/>
      <c r="E124" s="447"/>
      <c r="F124" s="54"/>
      <c r="G124" s="54"/>
      <c r="H124" s="459"/>
      <c r="I124" s="448"/>
      <c r="J124" s="53">
        <f t="shared" si="21"/>
        <v>0</v>
      </c>
      <c r="K124" s="53"/>
      <c r="L124" s="112"/>
      <c r="M124" s="53">
        <f t="shared" si="17"/>
        <v>0</v>
      </c>
      <c r="N124" s="112"/>
      <c r="O124" s="53">
        <f t="shared" si="18"/>
        <v>0</v>
      </c>
      <c r="P124" s="53">
        <f t="shared" si="19"/>
        <v>0</v>
      </c>
      <c r="Q124" s="1"/>
      <c r="R124" s="1"/>
      <c r="S124" s="1"/>
      <c r="T124" s="1"/>
      <c r="U124" s="1"/>
    </row>
    <row r="125" spans="2:21">
      <c r="B125" t="str">
        <f t="shared" si="20"/>
        <v/>
      </c>
      <c r="C125" s="49">
        <f>IF(D94="","-",+C124+1)</f>
        <v>2038</v>
      </c>
      <c r="D125" s="11"/>
      <c r="E125" s="447"/>
      <c r="F125" s="54"/>
      <c r="G125" s="54"/>
      <c r="H125" s="459"/>
      <c r="I125" s="448"/>
      <c r="J125" s="53">
        <f t="shared" si="21"/>
        <v>0</v>
      </c>
      <c r="K125" s="53"/>
      <c r="L125" s="112"/>
      <c r="M125" s="53">
        <f t="shared" si="17"/>
        <v>0</v>
      </c>
      <c r="N125" s="112"/>
      <c r="O125" s="53">
        <f t="shared" si="18"/>
        <v>0</v>
      </c>
      <c r="P125" s="53">
        <f t="shared" si="19"/>
        <v>0</v>
      </c>
      <c r="Q125" s="1"/>
      <c r="R125" s="1"/>
      <c r="S125" s="1"/>
      <c r="T125" s="1"/>
      <c r="U125" s="1"/>
    </row>
    <row r="126" spans="2:21">
      <c r="B126" t="str">
        <f t="shared" si="20"/>
        <v/>
      </c>
      <c r="C126" s="49">
        <f>IF(D94="","-",+C125+1)</f>
        <v>2039</v>
      </c>
      <c r="D126" s="11"/>
      <c r="E126" s="447"/>
      <c r="F126" s="54"/>
      <c r="G126" s="54"/>
      <c r="H126" s="459"/>
      <c r="I126" s="448"/>
      <c r="J126" s="53">
        <f t="shared" si="21"/>
        <v>0</v>
      </c>
      <c r="K126" s="53"/>
      <c r="L126" s="112"/>
      <c r="M126" s="53">
        <f t="shared" si="17"/>
        <v>0</v>
      </c>
      <c r="N126" s="112"/>
      <c r="O126" s="53">
        <f t="shared" si="18"/>
        <v>0</v>
      </c>
      <c r="P126" s="53">
        <f t="shared" si="19"/>
        <v>0</v>
      </c>
      <c r="Q126" s="1"/>
      <c r="R126" s="1"/>
      <c r="S126" s="1"/>
      <c r="T126" s="1"/>
      <c r="U126" s="1"/>
    </row>
    <row r="127" spans="2:21">
      <c r="B127" t="str">
        <f t="shared" si="20"/>
        <v/>
      </c>
      <c r="C127" s="49">
        <f>IF(D94="","-",+C126+1)</f>
        <v>2040</v>
      </c>
      <c r="D127" s="11"/>
      <c r="E127" s="447"/>
      <c r="F127" s="54"/>
      <c r="G127" s="54"/>
      <c r="H127" s="459"/>
      <c r="I127" s="448"/>
      <c r="J127" s="53">
        <f t="shared" si="21"/>
        <v>0</v>
      </c>
      <c r="K127" s="53"/>
      <c r="L127" s="112"/>
      <c r="M127" s="53">
        <f t="shared" si="17"/>
        <v>0</v>
      </c>
      <c r="N127" s="112"/>
      <c r="O127" s="53">
        <f t="shared" si="18"/>
        <v>0</v>
      </c>
      <c r="P127" s="53">
        <f t="shared" si="19"/>
        <v>0</v>
      </c>
      <c r="Q127" s="1"/>
      <c r="R127" s="1"/>
      <c r="S127" s="1"/>
      <c r="T127" s="1"/>
      <c r="U127" s="1"/>
    </row>
    <row r="128" spans="2:21">
      <c r="B128" t="str">
        <f t="shared" si="20"/>
        <v/>
      </c>
      <c r="C128" s="49">
        <f>IF(D94="","-",+C127+1)</f>
        <v>2041</v>
      </c>
      <c r="D128" s="11"/>
      <c r="E128" s="447"/>
      <c r="F128" s="54"/>
      <c r="G128" s="54"/>
      <c r="H128" s="459"/>
      <c r="I128" s="448"/>
      <c r="J128" s="53">
        <f t="shared" si="21"/>
        <v>0</v>
      </c>
      <c r="K128" s="53"/>
      <c r="L128" s="112"/>
      <c r="M128" s="53">
        <f t="shared" si="17"/>
        <v>0</v>
      </c>
      <c r="N128" s="112"/>
      <c r="O128" s="53">
        <f t="shared" si="18"/>
        <v>0</v>
      </c>
      <c r="P128" s="53">
        <f t="shared" si="19"/>
        <v>0</v>
      </c>
      <c r="Q128" s="1"/>
      <c r="R128" s="1"/>
      <c r="S128" s="1"/>
      <c r="T128" s="1"/>
      <c r="U128" s="1"/>
    </row>
    <row r="129" spans="2:21">
      <c r="B129" t="str">
        <f t="shared" si="20"/>
        <v/>
      </c>
      <c r="C129" s="49">
        <f>IF(D94="","-",+C128+1)</f>
        <v>2042</v>
      </c>
      <c r="D129" s="11"/>
      <c r="E129" s="447"/>
      <c r="F129" s="54"/>
      <c r="G129" s="54"/>
      <c r="H129" s="459"/>
      <c r="I129" s="448"/>
      <c r="J129" s="53">
        <f t="shared" si="21"/>
        <v>0</v>
      </c>
      <c r="K129" s="53"/>
      <c r="L129" s="112"/>
      <c r="M129" s="53">
        <f t="shared" si="17"/>
        <v>0</v>
      </c>
      <c r="N129" s="112"/>
      <c r="O129" s="53">
        <f t="shared" si="18"/>
        <v>0</v>
      </c>
      <c r="P129" s="53">
        <f t="shared" si="19"/>
        <v>0</v>
      </c>
      <c r="Q129" s="1"/>
      <c r="R129" s="1"/>
      <c r="S129" s="1"/>
      <c r="T129" s="1"/>
      <c r="U129" s="1"/>
    </row>
    <row r="130" spans="2:21">
      <c r="B130" t="str">
        <f t="shared" si="20"/>
        <v/>
      </c>
      <c r="C130" s="49">
        <f>IF(D94="","-",+C129+1)</f>
        <v>2043</v>
      </c>
      <c r="D130" s="11"/>
      <c r="E130" s="447"/>
      <c r="F130" s="54"/>
      <c r="G130" s="54"/>
      <c r="H130" s="459"/>
      <c r="I130" s="448"/>
      <c r="J130" s="53">
        <f t="shared" si="21"/>
        <v>0</v>
      </c>
      <c r="K130" s="53"/>
      <c r="L130" s="112"/>
      <c r="M130" s="53">
        <f t="shared" si="17"/>
        <v>0</v>
      </c>
      <c r="N130" s="112"/>
      <c r="O130" s="53">
        <f t="shared" si="18"/>
        <v>0</v>
      </c>
      <c r="P130" s="53">
        <f t="shared" si="19"/>
        <v>0</v>
      </c>
      <c r="Q130" s="1"/>
      <c r="R130" s="1"/>
      <c r="S130" s="1"/>
      <c r="T130" s="1"/>
      <c r="U130" s="1"/>
    </row>
    <row r="131" spans="2:21">
      <c r="B131" t="str">
        <f t="shared" si="20"/>
        <v/>
      </c>
      <c r="C131" s="49">
        <f>IF(D94="","-",+C130+1)</f>
        <v>2044</v>
      </c>
      <c r="D131" s="11"/>
      <c r="E131" s="447"/>
      <c r="F131" s="54"/>
      <c r="G131" s="54"/>
      <c r="H131" s="459"/>
      <c r="I131" s="448"/>
      <c r="J131" s="53">
        <f t="shared" si="21"/>
        <v>0</v>
      </c>
      <c r="K131" s="53"/>
      <c r="L131" s="112"/>
      <c r="M131" s="53">
        <f t="shared" si="17"/>
        <v>0</v>
      </c>
      <c r="N131" s="112"/>
      <c r="O131" s="53">
        <f t="shared" si="18"/>
        <v>0</v>
      </c>
      <c r="P131" s="53">
        <f t="shared" si="19"/>
        <v>0</v>
      </c>
      <c r="Q131" s="1"/>
      <c r="R131" s="1"/>
      <c r="S131" s="1"/>
      <c r="T131" s="1"/>
      <c r="U131" s="1"/>
    </row>
    <row r="132" spans="2:21">
      <c r="B132" t="str">
        <f t="shared" si="20"/>
        <v/>
      </c>
      <c r="C132" s="49">
        <f>IF(D94="","-",+C131+1)</f>
        <v>2045</v>
      </c>
      <c r="D132" s="11"/>
      <c r="E132" s="447"/>
      <c r="F132" s="54"/>
      <c r="G132" s="54"/>
      <c r="H132" s="459"/>
      <c r="I132" s="448"/>
      <c r="J132" s="53">
        <f t="shared" si="21"/>
        <v>0</v>
      </c>
      <c r="K132" s="53"/>
      <c r="L132" s="112"/>
      <c r="M132" s="53">
        <f t="shared" ref="M132:M155" si="22">IF(L542&lt;&gt;0,+H542-L542,0)</f>
        <v>0</v>
      </c>
      <c r="N132" s="112"/>
      <c r="O132" s="53">
        <f t="shared" ref="O132:O155" si="23">IF(N542&lt;&gt;0,+I542-N542,0)</f>
        <v>0</v>
      </c>
      <c r="P132" s="53">
        <f t="shared" ref="P132:P155" si="24">+O542-M542</f>
        <v>0</v>
      </c>
      <c r="Q132" s="1"/>
      <c r="R132" s="1"/>
      <c r="S132" s="1"/>
      <c r="T132" s="1"/>
      <c r="U132" s="1"/>
    </row>
    <row r="133" spans="2:21">
      <c r="B133" t="str">
        <f t="shared" si="20"/>
        <v/>
      </c>
      <c r="C133" s="49">
        <f>IF(D94="","-",+C132+1)</f>
        <v>2046</v>
      </c>
      <c r="D133" s="11"/>
      <c r="E133" s="447"/>
      <c r="F133" s="54"/>
      <c r="G133" s="54"/>
      <c r="H133" s="459"/>
      <c r="I133" s="448"/>
      <c r="J133" s="53">
        <f t="shared" si="21"/>
        <v>0</v>
      </c>
      <c r="K133" s="53"/>
      <c r="L133" s="112"/>
      <c r="M133" s="53">
        <f t="shared" si="22"/>
        <v>0</v>
      </c>
      <c r="N133" s="112"/>
      <c r="O133" s="53">
        <f t="shared" si="23"/>
        <v>0</v>
      </c>
      <c r="P133" s="53">
        <f t="shared" si="24"/>
        <v>0</v>
      </c>
      <c r="Q133" s="1"/>
      <c r="R133" s="1"/>
      <c r="S133" s="1"/>
      <c r="T133" s="1"/>
      <c r="U133" s="1"/>
    </row>
    <row r="134" spans="2:21">
      <c r="B134" t="str">
        <f t="shared" si="20"/>
        <v/>
      </c>
      <c r="C134" s="49">
        <f>IF(D94="","-",+C133+1)</f>
        <v>2047</v>
      </c>
      <c r="D134" s="11"/>
      <c r="E134" s="447"/>
      <c r="F134" s="54"/>
      <c r="G134" s="54"/>
      <c r="H134" s="459"/>
      <c r="I134" s="448"/>
      <c r="J134" s="53">
        <f t="shared" si="21"/>
        <v>0</v>
      </c>
      <c r="K134" s="53"/>
      <c r="L134" s="112"/>
      <c r="M134" s="53">
        <f t="shared" si="22"/>
        <v>0</v>
      </c>
      <c r="N134" s="112"/>
      <c r="O134" s="53">
        <f t="shared" si="23"/>
        <v>0</v>
      </c>
      <c r="P134" s="53">
        <f t="shared" si="24"/>
        <v>0</v>
      </c>
      <c r="Q134" s="1"/>
      <c r="R134" s="1"/>
      <c r="S134" s="1"/>
      <c r="T134" s="1"/>
      <c r="U134" s="1"/>
    </row>
    <row r="135" spans="2:21">
      <c r="B135" t="str">
        <f t="shared" si="20"/>
        <v/>
      </c>
      <c r="C135" s="49">
        <f>IF(D94="","-",+C134+1)</f>
        <v>2048</v>
      </c>
      <c r="D135" s="11"/>
      <c r="E135" s="447"/>
      <c r="F135" s="54"/>
      <c r="G135" s="54"/>
      <c r="H135" s="459"/>
      <c r="I135" s="448"/>
      <c r="J135" s="53">
        <f t="shared" si="21"/>
        <v>0</v>
      </c>
      <c r="K135" s="53"/>
      <c r="L135" s="112"/>
      <c r="M135" s="53">
        <f t="shared" si="22"/>
        <v>0</v>
      </c>
      <c r="N135" s="112"/>
      <c r="O135" s="53">
        <f t="shared" si="23"/>
        <v>0</v>
      </c>
      <c r="P135" s="53">
        <f t="shared" si="24"/>
        <v>0</v>
      </c>
      <c r="Q135" s="1"/>
      <c r="R135" s="1"/>
      <c r="S135" s="1"/>
      <c r="T135" s="1"/>
      <c r="U135" s="1"/>
    </row>
    <row r="136" spans="2:21">
      <c r="B136" t="str">
        <f t="shared" si="20"/>
        <v/>
      </c>
      <c r="C136" s="49">
        <f>IF(D94="","-",+C135+1)</f>
        <v>2049</v>
      </c>
      <c r="D136" s="11"/>
      <c r="E136" s="447"/>
      <c r="F136" s="54"/>
      <c r="G136" s="54"/>
      <c r="H136" s="459"/>
      <c r="I136" s="448"/>
      <c r="J136" s="53">
        <f t="shared" si="21"/>
        <v>0</v>
      </c>
      <c r="K136" s="53"/>
      <c r="L136" s="112"/>
      <c r="M136" s="53">
        <f t="shared" si="22"/>
        <v>0</v>
      </c>
      <c r="N136" s="112"/>
      <c r="O136" s="53">
        <f t="shared" si="23"/>
        <v>0</v>
      </c>
      <c r="P136" s="53">
        <f t="shared" si="24"/>
        <v>0</v>
      </c>
      <c r="Q136" s="1"/>
      <c r="R136" s="1"/>
      <c r="S136" s="1"/>
      <c r="T136" s="1"/>
      <c r="U136" s="1"/>
    </row>
    <row r="137" spans="2:21">
      <c r="B137" t="str">
        <f t="shared" si="20"/>
        <v/>
      </c>
      <c r="C137" s="49">
        <f>IF(D94="","-",+C136+1)</f>
        <v>2050</v>
      </c>
      <c r="D137" s="11"/>
      <c r="E137" s="447"/>
      <c r="F137" s="54"/>
      <c r="G137" s="54"/>
      <c r="H137" s="459"/>
      <c r="I137" s="448"/>
      <c r="J137" s="53">
        <f t="shared" si="21"/>
        <v>0</v>
      </c>
      <c r="K137" s="53"/>
      <c r="L137" s="112"/>
      <c r="M137" s="53">
        <f t="shared" si="22"/>
        <v>0</v>
      </c>
      <c r="N137" s="112"/>
      <c r="O137" s="53">
        <f t="shared" si="23"/>
        <v>0</v>
      </c>
      <c r="P137" s="53">
        <f t="shared" si="24"/>
        <v>0</v>
      </c>
      <c r="Q137" s="1"/>
      <c r="R137" s="1"/>
      <c r="S137" s="1"/>
      <c r="T137" s="1"/>
      <c r="U137" s="1"/>
    </row>
    <row r="138" spans="2:21">
      <c r="B138" t="str">
        <f t="shared" si="20"/>
        <v/>
      </c>
      <c r="C138" s="49">
        <f>IF(D94="","-",+C137+1)</f>
        <v>2051</v>
      </c>
      <c r="D138" s="11"/>
      <c r="E138" s="447"/>
      <c r="F138" s="54"/>
      <c r="G138" s="54"/>
      <c r="H138" s="459"/>
      <c r="I138" s="448"/>
      <c r="J138" s="53">
        <f t="shared" si="21"/>
        <v>0</v>
      </c>
      <c r="K138" s="53"/>
      <c r="L138" s="112"/>
      <c r="M138" s="53">
        <f t="shared" si="22"/>
        <v>0</v>
      </c>
      <c r="N138" s="112"/>
      <c r="O138" s="53">
        <f t="shared" si="23"/>
        <v>0</v>
      </c>
      <c r="P138" s="53">
        <f t="shared" si="24"/>
        <v>0</v>
      </c>
      <c r="Q138" s="1"/>
      <c r="R138" s="1"/>
      <c r="S138" s="1"/>
      <c r="T138" s="1"/>
      <c r="U138" s="1"/>
    </row>
    <row r="139" spans="2:21">
      <c r="B139" t="str">
        <f t="shared" si="20"/>
        <v/>
      </c>
      <c r="C139" s="49">
        <f>IF(D94="","-",+C138+1)</f>
        <v>2052</v>
      </c>
      <c r="D139" s="11"/>
      <c r="E139" s="447"/>
      <c r="F139" s="54"/>
      <c r="G139" s="54"/>
      <c r="H139" s="459"/>
      <c r="I139" s="448"/>
      <c r="J139" s="53">
        <f t="shared" si="21"/>
        <v>0</v>
      </c>
      <c r="K139" s="53"/>
      <c r="L139" s="112"/>
      <c r="M139" s="53">
        <f t="shared" si="22"/>
        <v>0</v>
      </c>
      <c r="N139" s="112"/>
      <c r="O139" s="53">
        <f t="shared" si="23"/>
        <v>0</v>
      </c>
      <c r="P139" s="53">
        <f t="shared" si="24"/>
        <v>0</v>
      </c>
      <c r="Q139" s="1"/>
      <c r="R139" s="1"/>
      <c r="S139" s="1"/>
      <c r="T139" s="1"/>
      <c r="U139" s="1"/>
    </row>
    <row r="140" spans="2:21">
      <c r="B140" t="str">
        <f t="shared" si="20"/>
        <v/>
      </c>
      <c r="C140" s="49">
        <f>IF(D94="","-",+C139+1)</f>
        <v>2053</v>
      </c>
      <c r="D140" s="11"/>
      <c r="E140" s="447"/>
      <c r="F140" s="54"/>
      <c r="G140" s="54"/>
      <c r="H140" s="459"/>
      <c r="I140" s="448"/>
      <c r="J140" s="53">
        <f t="shared" si="21"/>
        <v>0</v>
      </c>
      <c r="K140" s="53"/>
      <c r="L140" s="112"/>
      <c r="M140" s="53">
        <f t="shared" si="22"/>
        <v>0</v>
      </c>
      <c r="N140" s="112"/>
      <c r="O140" s="53">
        <f t="shared" si="23"/>
        <v>0</v>
      </c>
      <c r="P140" s="53">
        <f t="shared" si="24"/>
        <v>0</v>
      </c>
      <c r="Q140" s="1"/>
      <c r="R140" s="1"/>
      <c r="S140" s="1"/>
      <c r="T140" s="1"/>
      <c r="U140" s="1"/>
    </row>
    <row r="141" spans="2:21">
      <c r="B141" t="str">
        <f t="shared" si="20"/>
        <v/>
      </c>
      <c r="C141" s="49">
        <f>IF(D94="","-",+C140+1)</f>
        <v>2054</v>
      </c>
      <c r="D141" s="11"/>
      <c r="E141" s="447"/>
      <c r="F141" s="54"/>
      <c r="G141" s="54"/>
      <c r="H141" s="459"/>
      <c r="I141" s="448"/>
      <c r="J141" s="53">
        <f t="shared" si="21"/>
        <v>0</v>
      </c>
      <c r="K141" s="53"/>
      <c r="L141" s="112"/>
      <c r="M141" s="53">
        <f t="shared" si="22"/>
        <v>0</v>
      </c>
      <c r="N141" s="112"/>
      <c r="O141" s="53">
        <f t="shared" si="23"/>
        <v>0</v>
      </c>
      <c r="P141" s="53">
        <f t="shared" si="24"/>
        <v>0</v>
      </c>
      <c r="Q141" s="1"/>
      <c r="R141" s="1"/>
      <c r="S141" s="1"/>
      <c r="T141" s="1"/>
      <c r="U141" s="1"/>
    </row>
    <row r="142" spans="2:21">
      <c r="B142" t="str">
        <f t="shared" si="20"/>
        <v/>
      </c>
      <c r="C142" s="49">
        <f>IF(D94="","-",+C141+1)</f>
        <v>2055</v>
      </c>
      <c r="D142" s="11"/>
      <c r="E142" s="447"/>
      <c r="F142" s="54"/>
      <c r="G142" s="54"/>
      <c r="H142" s="459"/>
      <c r="I142" s="448"/>
      <c r="J142" s="53">
        <f t="shared" si="21"/>
        <v>0</v>
      </c>
      <c r="K142" s="53"/>
      <c r="L142" s="112"/>
      <c r="M142" s="53">
        <f t="shared" si="22"/>
        <v>0</v>
      </c>
      <c r="N142" s="112"/>
      <c r="O142" s="53">
        <f t="shared" si="23"/>
        <v>0</v>
      </c>
      <c r="P142" s="53">
        <f t="shared" si="24"/>
        <v>0</v>
      </c>
      <c r="Q142" s="1"/>
      <c r="R142" s="1"/>
      <c r="S142" s="1"/>
      <c r="T142" s="1"/>
      <c r="U142" s="1"/>
    </row>
    <row r="143" spans="2:21">
      <c r="B143" t="str">
        <f t="shared" si="20"/>
        <v/>
      </c>
      <c r="C143" s="49">
        <f>IF(D94="","-",+C142+1)</f>
        <v>2056</v>
      </c>
      <c r="D143" s="11"/>
      <c r="E143" s="447"/>
      <c r="F143" s="54"/>
      <c r="G143" s="54"/>
      <c r="H143" s="459"/>
      <c r="I143" s="448"/>
      <c r="J143" s="53">
        <f t="shared" si="21"/>
        <v>0</v>
      </c>
      <c r="K143" s="53"/>
      <c r="L143" s="112"/>
      <c r="M143" s="53">
        <f t="shared" si="22"/>
        <v>0</v>
      </c>
      <c r="N143" s="112"/>
      <c r="O143" s="53">
        <f t="shared" si="23"/>
        <v>0</v>
      </c>
      <c r="P143" s="53">
        <f t="shared" si="24"/>
        <v>0</v>
      </c>
      <c r="Q143" s="1"/>
      <c r="R143" s="1"/>
      <c r="S143" s="1"/>
      <c r="T143" s="1"/>
      <c r="U143" s="1"/>
    </row>
    <row r="144" spans="2:21">
      <c r="B144" t="str">
        <f t="shared" si="20"/>
        <v/>
      </c>
      <c r="C144" s="49">
        <f>IF(D94="","-",+C143+1)</f>
        <v>2057</v>
      </c>
      <c r="D144" s="11"/>
      <c r="E144" s="447"/>
      <c r="F144" s="54"/>
      <c r="G144" s="54"/>
      <c r="H144" s="459"/>
      <c r="I144" s="448"/>
      <c r="J144" s="53">
        <f t="shared" si="21"/>
        <v>0</v>
      </c>
      <c r="K144" s="53"/>
      <c r="L144" s="112"/>
      <c r="M144" s="53">
        <f t="shared" si="22"/>
        <v>0</v>
      </c>
      <c r="N144" s="112"/>
      <c r="O144" s="53">
        <f t="shared" si="23"/>
        <v>0</v>
      </c>
      <c r="P144" s="53">
        <f t="shared" si="24"/>
        <v>0</v>
      </c>
      <c r="Q144" s="1"/>
      <c r="R144" s="1"/>
      <c r="S144" s="1"/>
      <c r="T144" s="1"/>
      <c r="U144" s="1"/>
    </row>
    <row r="145" spans="2:21">
      <c r="B145" t="str">
        <f t="shared" si="20"/>
        <v/>
      </c>
      <c r="C145" s="49">
        <f>IF(D94="","-",+C144+1)</f>
        <v>2058</v>
      </c>
      <c r="D145" s="11"/>
      <c r="E145" s="447"/>
      <c r="F145" s="54"/>
      <c r="G145" s="54"/>
      <c r="H145" s="459"/>
      <c r="I145" s="448"/>
      <c r="J145" s="53">
        <f t="shared" si="21"/>
        <v>0</v>
      </c>
      <c r="K145" s="53"/>
      <c r="L145" s="112"/>
      <c r="M145" s="53">
        <f t="shared" si="22"/>
        <v>0</v>
      </c>
      <c r="N145" s="112"/>
      <c r="O145" s="53">
        <f t="shared" si="23"/>
        <v>0</v>
      </c>
      <c r="P145" s="53">
        <f t="shared" si="24"/>
        <v>0</v>
      </c>
      <c r="Q145" s="1"/>
      <c r="R145" s="1"/>
      <c r="S145" s="1"/>
      <c r="T145" s="1"/>
      <c r="U145" s="1"/>
    </row>
    <row r="146" spans="2:21">
      <c r="B146" t="str">
        <f t="shared" si="20"/>
        <v/>
      </c>
      <c r="C146" s="49">
        <f>IF(D94="","-",+C145+1)</f>
        <v>2059</v>
      </c>
      <c r="D146" s="11"/>
      <c r="E146" s="447"/>
      <c r="F146" s="54"/>
      <c r="G146" s="54"/>
      <c r="H146" s="459"/>
      <c r="I146" s="448"/>
      <c r="J146" s="53">
        <f t="shared" si="21"/>
        <v>0</v>
      </c>
      <c r="K146" s="53"/>
      <c r="L146" s="112"/>
      <c r="M146" s="53">
        <f t="shared" si="22"/>
        <v>0</v>
      </c>
      <c r="N146" s="112"/>
      <c r="O146" s="53">
        <f t="shared" si="23"/>
        <v>0</v>
      </c>
      <c r="P146" s="53">
        <f t="shared" si="24"/>
        <v>0</v>
      </c>
      <c r="Q146" s="1"/>
      <c r="R146" s="1"/>
      <c r="S146" s="1"/>
      <c r="T146" s="1"/>
      <c r="U146" s="1"/>
    </row>
    <row r="147" spans="2:21">
      <c r="B147" t="str">
        <f t="shared" si="20"/>
        <v/>
      </c>
      <c r="C147" s="49">
        <f>IF(D94="","-",+C146+1)</f>
        <v>2060</v>
      </c>
      <c r="D147" s="11"/>
      <c r="E147" s="447"/>
      <c r="F147" s="54"/>
      <c r="G147" s="54"/>
      <c r="H147" s="459"/>
      <c r="I147" s="448"/>
      <c r="J147" s="53">
        <f t="shared" si="21"/>
        <v>0</v>
      </c>
      <c r="K147" s="53"/>
      <c r="L147" s="112"/>
      <c r="M147" s="53">
        <f t="shared" si="22"/>
        <v>0</v>
      </c>
      <c r="N147" s="112"/>
      <c r="O147" s="53">
        <f t="shared" si="23"/>
        <v>0</v>
      </c>
      <c r="P147" s="53">
        <f t="shared" si="24"/>
        <v>0</v>
      </c>
      <c r="Q147" s="1"/>
      <c r="R147" s="1"/>
      <c r="S147" s="1"/>
      <c r="T147" s="1"/>
      <c r="U147" s="1"/>
    </row>
    <row r="148" spans="2:21">
      <c r="B148" t="str">
        <f t="shared" si="20"/>
        <v/>
      </c>
      <c r="C148" s="49">
        <f>IF(D94="","-",+C147+1)</f>
        <v>2061</v>
      </c>
      <c r="D148" s="11"/>
      <c r="E148" s="447"/>
      <c r="F148" s="54"/>
      <c r="G148" s="54"/>
      <c r="H148" s="459"/>
      <c r="I148" s="448"/>
      <c r="J148" s="53">
        <f t="shared" si="21"/>
        <v>0</v>
      </c>
      <c r="K148" s="53"/>
      <c r="L148" s="112"/>
      <c r="M148" s="53">
        <f t="shared" si="22"/>
        <v>0</v>
      </c>
      <c r="N148" s="112"/>
      <c r="O148" s="53">
        <f t="shared" si="23"/>
        <v>0</v>
      </c>
      <c r="P148" s="53">
        <f t="shared" si="24"/>
        <v>0</v>
      </c>
      <c r="Q148" s="1"/>
      <c r="R148" s="1"/>
      <c r="S148" s="1"/>
      <c r="T148" s="1"/>
      <c r="U148" s="1"/>
    </row>
    <row r="149" spans="2:21">
      <c r="B149" t="str">
        <f t="shared" si="20"/>
        <v/>
      </c>
      <c r="C149" s="49">
        <f>IF(D94="","-",+C148+1)</f>
        <v>2062</v>
      </c>
      <c r="D149" s="11"/>
      <c r="E149" s="447"/>
      <c r="F149" s="54"/>
      <c r="G149" s="54"/>
      <c r="H149" s="459"/>
      <c r="I149" s="448"/>
      <c r="J149" s="53">
        <f t="shared" si="21"/>
        <v>0</v>
      </c>
      <c r="K149" s="53"/>
      <c r="L149" s="112"/>
      <c r="M149" s="53">
        <f t="shared" si="22"/>
        <v>0</v>
      </c>
      <c r="N149" s="112"/>
      <c r="O149" s="53">
        <f t="shared" si="23"/>
        <v>0</v>
      </c>
      <c r="P149" s="53">
        <f t="shared" si="24"/>
        <v>0</v>
      </c>
      <c r="Q149" s="1"/>
      <c r="R149" s="1"/>
      <c r="S149" s="1"/>
      <c r="T149" s="1"/>
      <c r="U149" s="1"/>
    </row>
    <row r="150" spans="2:21">
      <c r="B150" t="str">
        <f t="shared" si="20"/>
        <v/>
      </c>
      <c r="C150" s="49">
        <f>IF(D94="","-",+C149+1)</f>
        <v>2063</v>
      </c>
      <c r="D150" s="11"/>
      <c r="E150" s="447"/>
      <c r="F150" s="54"/>
      <c r="G150" s="54"/>
      <c r="H150" s="459"/>
      <c r="I150" s="448"/>
      <c r="J150" s="53">
        <f t="shared" si="21"/>
        <v>0</v>
      </c>
      <c r="K150" s="53"/>
      <c r="L150" s="112"/>
      <c r="M150" s="53">
        <f t="shared" si="22"/>
        <v>0</v>
      </c>
      <c r="N150" s="112"/>
      <c r="O150" s="53">
        <f t="shared" si="23"/>
        <v>0</v>
      </c>
      <c r="P150" s="53">
        <f t="shared" si="24"/>
        <v>0</v>
      </c>
      <c r="Q150" s="1"/>
      <c r="R150" s="1"/>
      <c r="S150" s="1"/>
      <c r="T150" s="1"/>
      <c r="U150" s="1"/>
    </row>
    <row r="151" spans="2:21">
      <c r="B151" t="str">
        <f t="shared" si="20"/>
        <v/>
      </c>
      <c r="C151" s="49">
        <f>IF(D94="","-",+C150+1)</f>
        <v>2064</v>
      </c>
      <c r="D151" s="11"/>
      <c r="E151" s="447"/>
      <c r="F151" s="54"/>
      <c r="G151" s="54"/>
      <c r="H151" s="459"/>
      <c r="I151" s="448"/>
      <c r="J151" s="53">
        <f t="shared" si="21"/>
        <v>0</v>
      </c>
      <c r="K151" s="53"/>
      <c r="L151" s="112"/>
      <c r="M151" s="53">
        <f t="shared" si="22"/>
        <v>0</v>
      </c>
      <c r="N151" s="112"/>
      <c r="O151" s="53">
        <f t="shared" si="23"/>
        <v>0</v>
      </c>
      <c r="P151" s="53">
        <f t="shared" si="24"/>
        <v>0</v>
      </c>
      <c r="Q151" s="1"/>
      <c r="R151" s="1"/>
      <c r="S151" s="1"/>
      <c r="T151" s="1"/>
      <c r="U151" s="1"/>
    </row>
    <row r="152" spans="2:21">
      <c r="B152" t="str">
        <f t="shared" si="20"/>
        <v/>
      </c>
      <c r="C152" s="49">
        <f>IF(D94="","-",+C151+1)</f>
        <v>2065</v>
      </c>
      <c r="D152" s="11"/>
      <c r="E152" s="447"/>
      <c r="F152" s="54"/>
      <c r="G152" s="54"/>
      <c r="H152" s="459"/>
      <c r="I152" s="448"/>
      <c r="J152" s="53">
        <f t="shared" si="21"/>
        <v>0</v>
      </c>
      <c r="K152" s="53"/>
      <c r="L152" s="112"/>
      <c r="M152" s="53">
        <f t="shared" si="22"/>
        <v>0</v>
      </c>
      <c r="N152" s="112"/>
      <c r="O152" s="53">
        <f t="shared" si="23"/>
        <v>0</v>
      </c>
      <c r="P152" s="53">
        <f t="shared" si="24"/>
        <v>0</v>
      </c>
      <c r="Q152" s="1"/>
      <c r="R152" s="1"/>
      <c r="S152" s="1"/>
      <c r="T152" s="1"/>
      <c r="U152" s="1"/>
    </row>
    <row r="153" spans="2:21">
      <c r="B153" t="str">
        <f t="shared" si="20"/>
        <v/>
      </c>
      <c r="C153" s="49">
        <f>IF(D94="","-",+C152+1)</f>
        <v>2066</v>
      </c>
      <c r="D153" s="11"/>
      <c r="E153" s="447"/>
      <c r="F153" s="54"/>
      <c r="G153" s="54"/>
      <c r="H153" s="459"/>
      <c r="I153" s="448"/>
      <c r="J153" s="53">
        <f t="shared" si="21"/>
        <v>0</v>
      </c>
      <c r="K153" s="53"/>
      <c r="L153" s="112"/>
      <c r="M153" s="53">
        <f t="shared" si="22"/>
        <v>0</v>
      </c>
      <c r="N153" s="112"/>
      <c r="O153" s="53">
        <f t="shared" si="23"/>
        <v>0</v>
      </c>
      <c r="P153" s="53">
        <f t="shared" si="24"/>
        <v>0</v>
      </c>
      <c r="Q153" s="1"/>
      <c r="R153" s="1"/>
      <c r="S153" s="1"/>
      <c r="T153" s="1"/>
      <c r="U153" s="1"/>
    </row>
    <row r="154" spans="2:21">
      <c r="B154" t="str">
        <f t="shared" si="20"/>
        <v/>
      </c>
      <c r="C154" s="49">
        <f>IF(D94="","-",+C153+1)</f>
        <v>2067</v>
      </c>
      <c r="D154" s="11"/>
      <c r="E154" s="447"/>
      <c r="F154" s="54"/>
      <c r="G154" s="54"/>
      <c r="H154" s="459"/>
      <c r="I154" s="448"/>
      <c r="J154" s="53">
        <f t="shared" si="21"/>
        <v>0</v>
      </c>
      <c r="K154" s="53"/>
      <c r="L154" s="112"/>
      <c r="M154" s="53">
        <f t="shared" si="22"/>
        <v>0</v>
      </c>
      <c r="N154" s="112"/>
      <c r="O154" s="53">
        <f t="shared" si="23"/>
        <v>0</v>
      </c>
      <c r="P154" s="53">
        <f t="shared" si="24"/>
        <v>0</v>
      </c>
      <c r="Q154" s="1"/>
      <c r="R154" s="1"/>
      <c r="S154" s="1"/>
      <c r="T154" s="1"/>
      <c r="U154" s="1"/>
    </row>
    <row r="155" spans="2:21" ht="13.5" thickBot="1">
      <c r="B155" t="str">
        <f t="shared" si="20"/>
        <v/>
      </c>
      <c r="C155" s="58">
        <f>IF(D94="","-",+C154+1)</f>
        <v>2068</v>
      </c>
      <c r="D155" s="439"/>
      <c r="E155" s="449"/>
      <c r="F155" s="59"/>
      <c r="G155" s="59"/>
      <c r="H155" s="459"/>
      <c r="I155" s="450"/>
      <c r="J155" s="63">
        <f t="shared" si="21"/>
        <v>0</v>
      </c>
      <c r="K155" s="53"/>
      <c r="L155" s="113"/>
      <c r="M155" s="63">
        <f t="shared" si="22"/>
        <v>0</v>
      </c>
      <c r="N155" s="113"/>
      <c r="O155" s="63">
        <f t="shared" si="23"/>
        <v>0</v>
      </c>
      <c r="P155" s="63">
        <f t="shared" si="24"/>
        <v>0</v>
      </c>
      <c r="Q155" s="1"/>
      <c r="R155" s="1"/>
      <c r="S155" s="1"/>
      <c r="T155" s="1"/>
      <c r="U155" s="1"/>
    </row>
    <row r="156" spans="2:21">
      <c r="C156" s="11" t="s">
        <v>75</v>
      </c>
      <c r="D156" s="242"/>
      <c r="E156" s="242">
        <f>SUM(E100:E155)</f>
        <v>433494.464379085</v>
      </c>
      <c r="F156" s="242"/>
      <c r="G156" s="242"/>
      <c r="H156" s="242">
        <f>SUM(H100:H155)</f>
        <v>2387323.3800558434</v>
      </c>
      <c r="I156" s="242">
        <f>SUM(I100:I155)</f>
        <v>2387323.3800558434</v>
      </c>
      <c r="J156" s="242">
        <f>SUM(J100:J155)</f>
        <v>0</v>
      </c>
      <c r="K156" s="242"/>
      <c r="L156" s="242"/>
      <c r="M156" s="242"/>
      <c r="N156" s="242"/>
      <c r="O156" s="242"/>
      <c r="P156" s="1"/>
      <c r="Q156" s="1"/>
      <c r="R156" s="1"/>
      <c r="S156" s="1"/>
      <c r="T156" s="1"/>
      <c r="U156" s="1"/>
    </row>
    <row r="157" spans="2:21">
      <c r="C157" t="s">
        <v>90</v>
      </c>
      <c r="D157" s="2"/>
      <c r="E157" s="1"/>
      <c r="F157" s="1"/>
      <c r="G157" s="1"/>
      <c r="H157" s="1"/>
      <c r="I157" s="260"/>
      <c r="J157" s="260"/>
      <c r="K157" s="242"/>
      <c r="L157" s="260"/>
      <c r="M157" s="260"/>
      <c r="N157" s="260"/>
      <c r="O157" s="260"/>
      <c r="P157" s="1"/>
      <c r="Q157" s="1"/>
      <c r="R157" s="1"/>
      <c r="S157" s="1"/>
      <c r="T157" s="1"/>
      <c r="U157" s="1"/>
    </row>
    <row r="158" spans="2:21">
      <c r="C158" s="83"/>
      <c r="D158" s="2"/>
      <c r="E158" s="1"/>
      <c r="F158" s="1"/>
      <c r="G158" s="1"/>
      <c r="H158" s="1"/>
      <c r="I158" s="260"/>
      <c r="J158" s="260"/>
      <c r="K158" s="242"/>
      <c r="L158" s="260"/>
      <c r="M158" s="260"/>
      <c r="N158" s="260"/>
      <c r="O158" s="260"/>
      <c r="P158" s="1"/>
      <c r="Q158" s="1"/>
      <c r="R158" s="1"/>
      <c r="S158" s="1"/>
      <c r="T158" s="1"/>
      <c r="U158" s="1"/>
    </row>
    <row r="159" spans="2:21">
      <c r="C159" s="97" t="s">
        <v>130</v>
      </c>
      <c r="D159" s="2"/>
      <c r="E159" s="1"/>
      <c r="F159" s="1"/>
      <c r="G159" s="1"/>
      <c r="H159" s="1"/>
      <c r="I159" s="260"/>
      <c r="J159" s="260"/>
      <c r="K159" s="242"/>
      <c r="L159" s="260"/>
      <c r="M159" s="260"/>
      <c r="N159" s="260"/>
      <c r="O159" s="260"/>
      <c r="P159" s="1"/>
      <c r="Q159" s="1"/>
      <c r="R159" s="1"/>
      <c r="S159" s="1"/>
      <c r="T159" s="1"/>
      <c r="U159" s="1"/>
    </row>
    <row r="160" spans="2:21">
      <c r="C160" s="25" t="s">
        <v>76</v>
      </c>
      <c r="D160" s="11"/>
      <c r="E160" s="11"/>
      <c r="F160" s="11"/>
      <c r="G160" s="11"/>
      <c r="H160" s="242"/>
      <c r="I160" s="242"/>
      <c r="J160" s="64"/>
      <c r="K160" s="64"/>
      <c r="L160" s="64"/>
      <c r="M160" s="64"/>
      <c r="N160" s="64"/>
      <c r="O160" s="64"/>
      <c r="P160" s="1"/>
      <c r="Q160" s="1"/>
      <c r="R160" s="1"/>
      <c r="S160" s="1"/>
      <c r="T160" s="1"/>
      <c r="U160" s="1"/>
    </row>
    <row r="161" spans="3:21">
      <c r="C161" s="84" t="s">
        <v>77</v>
      </c>
      <c r="D161" s="11"/>
      <c r="E161" s="11"/>
      <c r="F161" s="11"/>
      <c r="G161" s="11"/>
      <c r="H161" s="242"/>
      <c r="I161" s="242"/>
      <c r="J161" s="64"/>
      <c r="K161" s="64"/>
      <c r="L161" s="64"/>
      <c r="M161" s="64"/>
      <c r="N161" s="64"/>
      <c r="O161" s="64"/>
      <c r="P161" s="1"/>
      <c r="Q161" s="1"/>
      <c r="R161" s="1"/>
      <c r="S161" s="1"/>
      <c r="T161" s="1"/>
      <c r="U161" s="1"/>
    </row>
    <row r="162" spans="3:21">
      <c r="C162" s="84"/>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29" priority="1" stopIfTrue="1" operator="equal">
      <formula>$I$10</formula>
    </cfRule>
  </conditionalFormatting>
  <conditionalFormatting sqref="C100:C155">
    <cfRule type="cellIs" dxfId="28"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66"/>
  <dimension ref="A1:U163"/>
  <sheetViews>
    <sheetView topLeftCell="A67" zoomScaleNormal="100" zoomScaleSheetLayoutView="78" workbookViewId="0">
      <selection activeCell="D94" sqref="D94"/>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"&amp;RIGHT(MID(CELL("filename",$A$1),FIND("]",CELL("filename",$A$1))+1,256),2)&amp;" of "&amp;COUNT('OKT.001:OKT.xyz - blank'!$P$3)-1</f>
        <v>OKT Project 14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8145427.7654912835</v>
      </c>
      <c r="P5" s="1"/>
      <c r="R5" s="1"/>
      <c r="S5" s="1"/>
      <c r="T5" s="1"/>
      <c r="U5" s="1"/>
    </row>
    <row r="6" spans="1:21" ht="15.75">
      <c r="C6" s="6"/>
      <c r="D6" s="2"/>
      <c r="E6" s="1"/>
      <c r="F6" s="1"/>
      <c r="G6" s="1"/>
      <c r="H6" s="351"/>
      <c r="I6" s="351"/>
      <c r="J6" s="352"/>
      <c r="K6" s="22" t="s">
        <v>243</v>
      </c>
      <c r="L6" s="353"/>
      <c r="M6" s="1"/>
      <c r="N6" s="354">
        <f>VLOOKUP(I10,C17:I73,6)</f>
        <v>8145427.7654912835</v>
      </c>
      <c r="O6" s="1"/>
      <c r="P6" s="1"/>
      <c r="R6" s="1"/>
      <c r="S6" s="1"/>
      <c r="T6" s="1"/>
      <c r="U6" s="1"/>
    </row>
    <row r="7" spans="1:21" ht="13.5" thickBot="1">
      <c r="C7" s="25" t="s">
        <v>46</v>
      </c>
      <c r="D7" s="87" t="s">
        <v>234</v>
      </c>
      <c r="E7" s="87"/>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235</v>
      </c>
      <c r="E9" s="31" t="s">
        <v>310</v>
      </c>
      <c r="F9" s="526">
        <v>936</v>
      </c>
      <c r="G9" s="31"/>
      <c r="H9" s="31"/>
      <c r="I9" s="32"/>
      <c r="J9" s="33"/>
      <c r="P9" s="1"/>
      <c r="R9" s="1"/>
      <c r="S9" s="1"/>
      <c r="T9" s="1"/>
      <c r="U9" s="1"/>
    </row>
    <row r="10" spans="1:21">
      <c r="C10" s="34" t="s">
        <v>49</v>
      </c>
      <c r="D10" s="358">
        <v>68247468.75</v>
      </c>
      <c r="E10" s="1" t="s">
        <v>50</v>
      </c>
      <c r="G10" s="2"/>
      <c r="H10" s="2"/>
      <c r="I10" s="36">
        <f>+'OKT.WS.F.BPU.ATRR.Projected'!R100</f>
        <v>2025</v>
      </c>
      <c r="J10" s="33"/>
      <c r="K10" s="242" t="s">
        <v>51</v>
      </c>
      <c r="O10" s="1"/>
      <c r="P10" s="1"/>
      <c r="R10" s="1"/>
      <c r="S10" s="1"/>
      <c r="T10" s="1"/>
      <c r="U10" s="1"/>
    </row>
    <row r="11" spans="1:21">
      <c r="C11" s="34" t="s">
        <v>52</v>
      </c>
      <c r="D11" s="37">
        <v>2016</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12</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2274915.625</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c r="R16" s="1"/>
      <c r="S16" s="1"/>
      <c r="T16" s="1"/>
      <c r="U16" s="1"/>
    </row>
    <row r="17" spans="3:21">
      <c r="C17" s="49">
        <f>IF(D11= "","-",D11)</f>
        <v>2016</v>
      </c>
      <c r="D17" s="433">
        <v>3408237</v>
      </c>
      <c r="E17" s="440">
        <v>41312.427614067317</v>
      </c>
      <c r="F17" s="433">
        <v>3366924.5723859328</v>
      </c>
      <c r="G17" s="440">
        <v>283462.47353390156</v>
      </c>
      <c r="H17" s="438">
        <v>283462.47353390156</v>
      </c>
      <c r="I17" s="51">
        <f t="shared" ref="I17:I73" si="0">H17-G17</f>
        <v>0</v>
      </c>
      <c r="J17" s="51"/>
      <c r="K17" s="114">
        <f t="shared" ref="K17:K22" si="1">G17</f>
        <v>283462.47353390156</v>
      </c>
      <c r="L17" s="52">
        <f t="shared" ref="L17:L22" si="2">IF(K17&lt;&gt;0,+G17-K17,0)</f>
        <v>0</v>
      </c>
      <c r="M17" s="114">
        <f t="shared" ref="M17:M22" si="3">H17</f>
        <v>283462.47353390156</v>
      </c>
      <c r="N17" s="52">
        <f t="shared" ref="N17:N73" si="4">IF(M17&lt;&gt;0,+H17-M17,0)</f>
        <v>0</v>
      </c>
      <c r="O17" s="53">
        <f t="shared" ref="O17:O73" si="5">+N17-L17</f>
        <v>0</v>
      </c>
      <c r="P17" s="1"/>
      <c r="R17" s="1"/>
      <c r="S17" s="1"/>
      <c r="T17" s="1"/>
      <c r="U17" s="1"/>
    </row>
    <row r="18" spans="3:21">
      <c r="C18" s="49">
        <f>IF(D11="","-",+C17+1)</f>
        <v>2017</v>
      </c>
      <c r="D18" s="435">
        <v>69080283.572385937</v>
      </c>
      <c r="E18" s="434">
        <v>1359067.4231693465</v>
      </c>
      <c r="F18" s="435">
        <v>67721216.149216592</v>
      </c>
      <c r="G18" s="434">
        <v>8879043.9719662741</v>
      </c>
      <c r="H18" s="438">
        <v>8879043.9719662741</v>
      </c>
      <c r="I18" s="51">
        <f t="shared" si="0"/>
        <v>0</v>
      </c>
      <c r="J18" s="51"/>
      <c r="K18" s="419">
        <f t="shared" si="1"/>
        <v>8879043.9719662741</v>
      </c>
      <c r="L18" s="422">
        <f t="shared" si="2"/>
        <v>0</v>
      </c>
      <c r="M18" s="419">
        <f t="shared" si="3"/>
        <v>8879043.9719662741</v>
      </c>
      <c r="N18" s="53">
        <f>IF(M18&lt;&gt;0,+H18-M18,0)</f>
        <v>0</v>
      </c>
      <c r="O18" s="53">
        <f>+N18-L18</f>
        <v>0</v>
      </c>
      <c r="P18" s="1"/>
      <c r="R18" s="1"/>
      <c r="S18" s="1"/>
      <c r="T18" s="1"/>
      <c r="U18" s="1"/>
    </row>
    <row r="19" spans="3:21">
      <c r="C19" s="49">
        <f>IF(D11="","-",+C18+1)</f>
        <v>2018</v>
      </c>
      <c r="D19" s="435">
        <v>67721216.149216592</v>
      </c>
      <c r="E19" s="434">
        <v>1695178.2446698518</v>
      </c>
      <c r="F19" s="435">
        <v>66026037.904546738</v>
      </c>
      <c r="G19" s="434">
        <v>8491120.286725603</v>
      </c>
      <c r="H19" s="438">
        <v>8491120.286725603</v>
      </c>
      <c r="I19" s="51">
        <f t="shared" si="0"/>
        <v>0</v>
      </c>
      <c r="J19" s="51"/>
      <c r="K19" s="419">
        <f t="shared" si="1"/>
        <v>8491120.286725603</v>
      </c>
      <c r="L19" s="422">
        <f t="shared" si="2"/>
        <v>0</v>
      </c>
      <c r="M19" s="419">
        <f t="shared" si="3"/>
        <v>8491120.286725603</v>
      </c>
      <c r="N19" s="53">
        <f>IF(M19&lt;&gt;0,+H19-M19,0)</f>
        <v>0</v>
      </c>
      <c r="O19" s="53">
        <f>+N19-L19</f>
        <v>0</v>
      </c>
      <c r="P19" s="1"/>
      <c r="R19" s="1"/>
      <c r="S19" s="1"/>
      <c r="T19" s="1"/>
      <c r="U19" s="1"/>
    </row>
    <row r="20" spans="3:21">
      <c r="C20" s="49">
        <f>IF(D11="","-",+C19+1)</f>
        <v>2019</v>
      </c>
      <c r="D20" s="435">
        <v>66026037.904546738</v>
      </c>
      <c r="E20" s="434">
        <v>2050066.834779863</v>
      </c>
      <c r="F20" s="435">
        <v>63975971.069766872</v>
      </c>
      <c r="G20" s="434">
        <v>8806008.9305919912</v>
      </c>
      <c r="H20" s="438">
        <v>8806008.9305919912</v>
      </c>
      <c r="I20" s="51">
        <f t="shared" si="0"/>
        <v>0</v>
      </c>
      <c r="J20" s="51"/>
      <c r="K20" s="419">
        <f t="shared" si="1"/>
        <v>8806008.9305919912</v>
      </c>
      <c r="L20" s="422">
        <f t="shared" si="2"/>
        <v>0</v>
      </c>
      <c r="M20" s="419">
        <f t="shared" si="3"/>
        <v>8806008.9305919912</v>
      </c>
      <c r="N20" s="53">
        <f>IF(M20&lt;&gt;0,+H20-M20,0)</f>
        <v>0</v>
      </c>
      <c r="O20" s="53">
        <f>+N20-L20</f>
        <v>0</v>
      </c>
      <c r="P20" s="1"/>
      <c r="R20" s="1"/>
      <c r="S20" s="1"/>
      <c r="T20" s="1"/>
      <c r="U20" s="1"/>
    </row>
    <row r="21" spans="3:21">
      <c r="C21" s="49">
        <f>IF(D11="","-",+C20+1)</f>
        <v>2020</v>
      </c>
      <c r="D21" s="435">
        <v>63456732.659876883</v>
      </c>
      <c r="E21" s="434">
        <v>1998407.404883953</v>
      </c>
      <c r="F21" s="435">
        <v>61458325.254992932</v>
      </c>
      <c r="G21" s="434">
        <v>8552229.9584809169</v>
      </c>
      <c r="H21" s="438">
        <v>8552229.9584809169</v>
      </c>
      <c r="I21" s="51">
        <f t="shared" si="0"/>
        <v>0</v>
      </c>
      <c r="J21" s="51"/>
      <c r="K21" s="419">
        <f t="shared" si="1"/>
        <v>8552229.9584809169</v>
      </c>
      <c r="L21" s="422">
        <f t="shared" si="2"/>
        <v>0</v>
      </c>
      <c r="M21" s="419">
        <f t="shared" si="3"/>
        <v>8552229.9584809169</v>
      </c>
      <c r="N21" s="53">
        <f t="shared" si="4"/>
        <v>0</v>
      </c>
      <c r="O21" s="53">
        <f t="shared" si="5"/>
        <v>0</v>
      </c>
      <c r="P21" s="1"/>
      <c r="R21" s="1"/>
      <c r="S21" s="1"/>
      <c r="T21" s="1"/>
      <c r="U21" s="1"/>
    </row>
    <row r="22" spans="3:21">
      <c r="C22" s="49">
        <f>IF(D11="","-",+C21+1)</f>
        <v>2021</v>
      </c>
      <c r="D22" s="435">
        <v>61103436.664882921</v>
      </c>
      <c r="E22" s="434">
        <v>2201531.2580645164</v>
      </c>
      <c r="F22" s="435">
        <v>58901905.406818405</v>
      </c>
      <c r="G22" s="434">
        <v>8692924.255398104</v>
      </c>
      <c r="H22" s="438">
        <v>8692924.255398104</v>
      </c>
      <c r="I22" s="51">
        <f t="shared" si="0"/>
        <v>0</v>
      </c>
      <c r="J22" s="51"/>
      <c r="K22" s="419">
        <f t="shared" si="1"/>
        <v>8692924.255398104</v>
      </c>
      <c r="L22" s="422">
        <f t="shared" si="2"/>
        <v>0</v>
      </c>
      <c r="M22" s="419">
        <f t="shared" si="3"/>
        <v>8692924.255398104</v>
      </c>
      <c r="N22" s="53">
        <f t="shared" si="4"/>
        <v>0</v>
      </c>
      <c r="O22" s="53">
        <f t="shared" si="5"/>
        <v>0</v>
      </c>
      <c r="P22" s="1"/>
      <c r="R22" s="1"/>
      <c r="S22" s="1"/>
      <c r="T22" s="1"/>
      <c r="U22" s="1"/>
    </row>
    <row r="23" spans="3:21">
      <c r="C23" s="49">
        <f>IF(D11="","-",+C22+1)</f>
        <v>2022</v>
      </c>
      <c r="D23" s="435">
        <v>58901905.406818405</v>
      </c>
      <c r="E23" s="434">
        <v>2068105.1212121211</v>
      </c>
      <c r="F23" s="435">
        <v>56833800.28560628</v>
      </c>
      <c r="G23" s="434">
        <v>8708948.961934343</v>
      </c>
      <c r="H23" s="438">
        <v>8708948.961934343</v>
      </c>
      <c r="I23" s="51">
        <f t="shared" si="0"/>
        <v>0</v>
      </c>
      <c r="J23" s="51"/>
      <c r="K23" s="419">
        <f t="shared" ref="K23" si="6">G23</f>
        <v>8708948.961934343</v>
      </c>
      <c r="L23" s="422">
        <f t="shared" ref="L23" si="7">IF(K23&lt;&gt;0,+G23-K23,0)</f>
        <v>0</v>
      </c>
      <c r="M23" s="419">
        <f t="shared" ref="M23" si="8">H23</f>
        <v>8708948.961934343</v>
      </c>
      <c r="N23" s="53">
        <f t="shared" si="4"/>
        <v>0</v>
      </c>
      <c r="O23" s="53">
        <f t="shared" si="5"/>
        <v>0</v>
      </c>
      <c r="P23" s="1"/>
      <c r="R23" s="1"/>
      <c r="S23" s="1"/>
      <c r="T23" s="1"/>
      <c r="U23" s="1"/>
    </row>
    <row r="24" spans="3:21">
      <c r="C24" s="49">
        <f>IF(D11="","-",+C23+1)</f>
        <v>2023</v>
      </c>
      <c r="D24" s="435">
        <v>56833800.03560628</v>
      </c>
      <c r="E24" s="434">
        <v>2201531.25</v>
      </c>
      <c r="F24" s="435">
        <v>54632268.78560628</v>
      </c>
      <c r="G24" s="434">
        <v>8501195.2492568977</v>
      </c>
      <c r="H24" s="438">
        <v>8501195.2492568977</v>
      </c>
      <c r="I24" s="51">
        <f t="shared" si="0"/>
        <v>0</v>
      </c>
      <c r="J24" s="51"/>
      <c r="K24" s="419">
        <f t="shared" ref="K24" si="9">G24</f>
        <v>8501195.2492568977</v>
      </c>
      <c r="L24" s="422">
        <f t="shared" ref="L24" si="10">IF(K24&lt;&gt;0,+G24-K24,0)</f>
        <v>0</v>
      </c>
      <c r="M24" s="419">
        <f t="shared" ref="M24" si="11">H24</f>
        <v>8501195.2492568977</v>
      </c>
      <c r="N24" s="53">
        <f t="shared" si="4"/>
        <v>0</v>
      </c>
      <c r="O24" s="53">
        <f t="shared" si="5"/>
        <v>0</v>
      </c>
      <c r="P24" s="1"/>
      <c r="R24" s="1"/>
      <c r="S24" s="1"/>
      <c r="T24" s="1"/>
      <c r="U24" s="1"/>
    </row>
    <row r="25" spans="3:21">
      <c r="C25" s="49">
        <f>IF(D11="","-",+C24+1)</f>
        <v>2024</v>
      </c>
      <c r="D25" s="435">
        <v>54632268.78560628</v>
      </c>
      <c r="E25" s="434">
        <v>2201531.25</v>
      </c>
      <c r="F25" s="435">
        <v>52430737.53560628</v>
      </c>
      <c r="G25" s="434">
        <v>8300462.8301983364</v>
      </c>
      <c r="H25" s="438">
        <v>8300462.8301983364</v>
      </c>
      <c r="I25" s="51">
        <f t="shared" si="0"/>
        <v>0</v>
      </c>
      <c r="J25" s="51"/>
      <c r="K25" s="419">
        <f t="shared" ref="K25" si="12">G25</f>
        <v>8300462.8301983364</v>
      </c>
      <c r="L25" s="422">
        <f t="shared" ref="L25" si="13">IF(K25&lt;&gt;0,+G25-K25,0)</f>
        <v>0</v>
      </c>
      <c r="M25" s="419">
        <f t="shared" ref="M25" si="14">H25</f>
        <v>8300462.8301983364</v>
      </c>
      <c r="N25" s="53">
        <f t="shared" ref="N25" si="15">IF(M25&lt;&gt;0,+H25-M25,0)</f>
        <v>0</v>
      </c>
      <c r="O25" s="53">
        <f t="shared" ref="O25" si="16">+N25-L25</f>
        <v>0</v>
      </c>
      <c r="P25" s="1"/>
      <c r="R25" s="1"/>
      <c r="S25" s="1"/>
      <c r="T25" s="1"/>
      <c r="U25" s="1"/>
    </row>
    <row r="26" spans="3:21">
      <c r="C26" s="49">
        <f>IF(D11="","-",+C25+1)</f>
        <v>2025</v>
      </c>
      <c r="D26" s="435">
        <v>52430737.53560628</v>
      </c>
      <c r="E26" s="434">
        <v>2274915.625</v>
      </c>
      <c r="F26" s="435">
        <v>50155821.91060628</v>
      </c>
      <c r="G26" s="434">
        <v>8145427.7654912835</v>
      </c>
      <c r="H26" s="438">
        <v>8145427.7654912835</v>
      </c>
      <c r="I26" s="51">
        <f t="shared" si="0"/>
        <v>0</v>
      </c>
      <c r="J26" s="51"/>
      <c r="K26" s="419">
        <f t="shared" ref="K26" si="17">G26</f>
        <v>8145427.7654912835</v>
      </c>
      <c r="L26" s="422">
        <f t="shared" ref="L26" si="18">IF(K26&lt;&gt;0,+G26-K26,0)</f>
        <v>0</v>
      </c>
      <c r="M26" s="419">
        <f t="shared" ref="M26" si="19">H26</f>
        <v>8145427.7654912835</v>
      </c>
      <c r="N26" s="53">
        <f t="shared" ref="N26" si="20">IF(M26&lt;&gt;0,+H26-M26,0)</f>
        <v>0</v>
      </c>
      <c r="O26" s="53">
        <f t="shared" ref="O26" si="21">+N26-L26</f>
        <v>0</v>
      </c>
      <c r="P26" s="1"/>
      <c r="R26" s="1"/>
      <c r="S26" s="1"/>
      <c r="T26" s="1"/>
      <c r="U26" s="1"/>
    </row>
    <row r="27" spans="3:21">
      <c r="C27" s="49">
        <f>IF(D11="","-",+C26+1)</f>
        <v>2026</v>
      </c>
      <c r="D27" s="54">
        <f>IF(F26+SUM(E$17:E26)=D$10,F26,D$10-SUM(E$17:E26))</f>
        <v>50155821.91060628</v>
      </c>
      <c r="E27" s="377">
        <f>IF(+I14&lt;F26,I14,D27)</f>
        <v>2274915.625</v>
      </c>
      <c r="F27" s="54">
        <f t="shared" ref="F27:F73" si="22">+D27-E27</f>
        <v>47880906.28560628</v>
      </c>
      <c r="G27" s="378">
        <f t="shared" ref="G27:G73" si="23">(D27+F27)/2*I$12+E27</f>
        <v>7885063.837365631</v>
      </c>
      <c r="H27" s="359">
        <f t="shared" ref="H27:H73" si="24">+(D27+F27)/2*I$13+E27</f>
        <v>7885063.837365631</v>
      </c>
      <c r="I27" s="51">
        <f t="shared" si="0"/>
        <v>0</v>
      </c>
      <c r="J27" s="51"/>
      <c r="K27" s="112"/>
      <c r="L27" s="53">
        <f t="shared" ref="L27:L73" si="25">IF(K27&lt;&gt;0,+G27-K27,0)</f>
        <v>0</v>
      </c>
      <c r="M27" s="112"/>
      <c r="N27" s="53">
        <f t="shared" si="4"/>
        <v>0</v>
      </c>
      <c r="O27" s="53">
        <f t="shared" si="5"/>
        <v>0</v>
      </c>
      <c r="P27" s="1"/>
      <c r="R27" s="1"/>
      <c r="S27" s="1"/>
      <c r="T27" s="1"/>
      <c r="U27" s="1"/>
    </row>
    <row r="28" spans="3:21">
      <c r="C28" s="49">
        <f>IF(D11="","-",+C27+1)</f>
        <v>2027</v>
      </c>
      <c r="D28" s="54">
        <f>IF(F27+SUM(E$17:E27)=D$10,F27,D$10-SUM(E$17:E27))</f>
        <v>47880906.28560628</v>
      </c>
      <c r="E28" s="377">
        <f>IF(+I14&lt;F27,I14,D28)</f>
        <v>2274915.625</v>
      </c>
      <c r="F28" s="54">
        <f t="shared" si="22"/>
        <v>45605990.66060628</v>
      </c>
      <c r="G28" s="378">
        <f t="shared" si="23"/>
        <v>7624699.9092399785</v>
      </c>
      <c r="H28" s="359">
        <f t="shared" si="24"/>
        <v>7624699.9092399785</v>
      </c>
      <c r="I28" s="51">
        <f t="shared" si="0"/>
        <v>0</v>
      </c>
      <c r="J28" s="51"/>
      <c r="K28" s="112"/>
      <c r="L28" s="53">
        <f t="shared" si="25"/>
        <v>0</v>
      </c>
      <c r="M28" s="112"/>
      <c r="N28" s="53">
        <f t="shared" si="4"/>
        <v>0</v>
      </c>
      <c r="O28" s="53">
        <f t="shared" si="5"/>
        <v>0</v>
      </c>
      <c r="P28" s="1"/>
      <c r="R28" s="1"/>
      <c r="S28" s="1"/>
      <c r="T28" s="1"/>
      <c r="U28" s="1"/>
    </row>
    <row r="29" spans="3:21">
      <c r="C29" s="49">
        <f>IF(D11="","-",+C28+1)</f>
        <v>2028</v>
      </c>
      <c r="D29" s="54">
        <f>IF(F28+SUM(E$17:E28)=D$10,F28,D$10-SUM(E$17:E28))</f>
        <v>45605990.66060628</v>
      </c>
      <c r="E29" s="377">
        <f>IF(+I14&lt;F28,I14,D29)</f>
        <v>2274915.625</v>
      </c>
      <c r="F29" s="54">
        <f t="shared" si="22"/>
        <v>43331075.03560628</v>
      </c>
      <c r="G29" s="378">
        <f t="shared" si="23"/>
        <v>7364335.981114327</v>
      </c>
      <c r="H29" s="359">
        <f t="shared" si="24"/>
        <v>7364335.981114327</v>
      </c>
      <c r="I29" s="51">
        <f t="shared" si="0"/>
        <v>0</v>
      </c>
      <c r="J29" s="51"/>
      <c r="K29" s="112"/>
      <c r="L29" s="53">
        <f t="shared" si="25"/>
        <v>0</v>
      </c>
      <c r="M29" s="112"/>
      <c r="N29" s="53">
        <f t="shared" si="4"/>
        <v>0</v>
      </c>
      <c r="O29" s="53">
        <f t="shared" si="5"/>
        <v>0</v>
      </c>
      <c r="P29" s="1"/>
      <c r="R29" s="1"/>
      <c r="S29" s="1"/>
      <c r="T29" s="1"/>
      <c r="U29" s="1"/>
    </row>
    <row r="30" spans="3:21">
      <c r="C30" s="49">
        <f>IF(D11="","-",+C29+1)</f>
        <v>2029</v>
      </c>
      <c r="D30" s="54">
        <f>IF(F29+SUM(E$17:E29)=D$10,F29,D$10-SUM(E$17:E29))</f>
        <v>43331075.03560628</v>
      </c>
      <c r="E30" s="377">
        <f>IF(+I14&lt;F29,I14,D30)</f>
        <v>2274915.625</v>
      </c>
      <c r="F30" s="54">
        <f t="shared" si="22"/>
        <v>41056159.41060628</v>
      </c>
      <c r="G30" s="378">
        <f t="shared" si="23"/>
        <v>7103972.0529886745</v>
      </c>
      <c r="H30" s="359">
        <f t="shared" si="24"/>
        <v>7103972.0529886745</v>
      </c>
      <c r="I30" s="51">
        <f t="shared" si="0"/>
        <v>0</v>
      </c>
      <c r="J30" s="51"/>
      <c r="K30" s="112"/>
      <c r="L30" s="53">
        <f t="shared" si="25"/>
        <v>0</v>
      </c>
      <c r="M30" s="112"/>
      <c r="N30" s="53">
        <f t="shared" si="4"/>
        <v>0</v>
      </c>
      <c r="O30" s="53">
        <f t="shared" si="5"/>
        <v>0</v>
      </c>
      <c r="P30" s="1"/>
      <c r="R30" s="1"/>
      <c r="S30" s="1"/>
      <c r="T30" s="1"/>
      <c r="U30" s="1"/>
    </row>
    <row r="31" spans="3:21">
      <c r="C31" s="49">
        <f>IF(D11="","-",+C30+1)</f>
        <v>2030</v>
      </c>
      <c r="D31" s="54">
        <f>IF(F30+SUM(E$17:E30)=D$10,F30,D$10-SUM(E$17:E30))</f>
        <v>41056159.41060628</v>
      </c>
      <c r="E31" s="377">
        <f>IF(+I14&lt;F30,I14,D31)</f>
        <v>2274915.625</v>
      </c>
      <c r="F31" s="54">
        <f t="shared" si="22"/>
        <v>38781243.78560628</v>
      </c>
      <c r="G31" s="378">
        <f t="shared" si="23"/>
        <v>6843608.124863022</v>
      </c>
      <c r="H31" s="359">
        <f t="shared" si="24"/>
        <v>6843608.124863022</v>
      </c>
      <c r="I31" s="51">
        <f t="shared" si="0"/>
        <v>0</v>
      </c>
      <c r="J31" s="51"/>
      <c r="K31" s="112"/>
      <c r="L31" s="53">
        <f t="shared" si="25"/>
        <v>0</v>
      </c>
      <c r="M31" s="112"/>
      <c r="N31" s="53">
        <f t="shared" si="4"/>
        <v>0</v>
      </c>
      <c r="O31" s="53">
        <f t="shared" si="5"/>
        <v>0</v>
      </c>
      <c r="P31" s="1"/>
      <c r="R31" s="1"/>
      <c r="S31" s="1"/>
      <c r="T31" s="1"/>
      <c r="U31" s="1"/>
    </row>
    <row r="32" spans="3:21">
      <c r="C32" s="49">
        <f>IF(D12="","-",+C31+1)</f>
        <v>2031</v>
      </c>
      <c r="D32" s="54">
        <f>IF(F31+SUM(E$17:E31)=D$10,F31,D$10-SUM(E$17:E31))</f>
        <v>38781243.78560628</v>
      </c>
      <c r="E32" s="377">
        <f>IF(+I14&lt;F31,I14,D32)</f>
        <v>2274915.625</v>
      </c>
      <c r="F32" s="54">
        <f>+D32-E32</f>
        <v>36506328.16060628</v>
      </c>
      <c r="G32" s="378">
        <f t="shared" si="23"/>
        <v>6583244.1967373705</v>
      </c>
      <c r="H32" s="359">
        <f t="shared" si="24"/>
        <v>6583244.1967373705</v>
      </c>
      <c r="I32" s="51">
        <f>H32-G32</f>
        <v>0</v>
      </c>
      <c r="J32" s="51"/>
      <c r="K32" s="112"/>
      <c r="L32" s="53">
        <f>IF(K32&lt;&gt;0,+G32-K32,0)</f>
        <v>0</v>
      </c>
      <c r="M32" s="112"/>
      <c r="N32" s="53">
        <f>IF(M32&lt;&gt;0,+H32-M32,0)</f>
        <v>0</v>
      </c>
      <c r="O32" s="53">
        <f>+N32-L32</f>
        <v>0</v>
      </c>
      <c r="P32" s="1"/>
      <c r="R32" s="1"/>
      <c r="S32" s="1"/>
      <c r="T32" s="1"/>
      <c r="U32" s="1"/>
    </row>
    <row r="33" spans="3:21">
      <c r="C33" s="49">
        <f>IF(D13="","-",+C32+1)</f>
        <v>2032</v>
      </c>
      <c r="D33" s="54">
        <f>IF(F32+SUM(E$17:E32)=D$10,F32,D$10-SUM(E$17:E32))</f>
        <v>36506328.16060628</v>
      </c>
      <c r="E33" s="377">
        <f>IF(+I14&lt;F32,I14,D33)</f>
        <v>2274915.625</v>
      </c>
      <c r="F33" s="54">
        <f>+D33-E33</f>
        <v>34231412.53560628</v>
      </c>
      <c r="G33" s="378">
        <f t="shared" si="23"/>
        <v>6322880.268611718</v>
      </c>
      <c r="H33" s="359">
        <f t="shared" si="24"/>
        <v>6322880.268611718</v>
      </c>
      <c r="I33" s="51">
        <f>H33-G33</f>
        <v>0</v>
      </c>
      <c r="J33" s="51"/>
      <c r="K33" s="112"/>
      <c r="L33" s="53">
        <f>IF(K33&lt;&gt;0,+G33-K33,0)</f>
        <v>0</v>
      </c>
      <c r="M33" s="112"/>
      <c r="N33" s="53">
        <f>IF(M33&lt;&gt;0,+H33-M33,0)</f>
        <v>0</v>
      </c>
      <c r="O33" s="53">
        <f>+N33-L33</f>
        <v>0</v>
      </c>
      <c r="P33" s="1"/>
      <c r="R33" s="1"/>
      <c r="S33" s="1"/>
      <c r="T33" s="1"/>
      <c r="U33" s="1"/>
    </row>
    <row r="34" spans="3:21">
      <c r="C34" s="379">
        <f>IF(D11="","-",+C33+1)</f>
        <v>2033</v>
      </c>
      <c r="D34" s="380">
        <f>IF(F33+SUM(E$17:E33)=D$10,F33,D$10-SUM(E$17:E33))</f>
        <v>34231412.53560628</v>
      </c>
      <c r="E34" s="381">
        <f>IF(+I14&lt;F33,I14,D34)</f>
        <v>2274915.625</v>
      </c>
      <c r="F34" s="380">
        <f t="shared" si="22"/>
        <v>31956496.91060628</v>
      </c>
      <c r="G34" s="378">
        <f t="shared" si="23"/>
        <v>6062516.3404860664</v>
      </c>
      <c r="H34" s="359">
        <f t="shared" si="24"/>
        <v>6062516.3404860664</v>
      </c>
      <c r="I34" s="384">
        <f t="shared" si="0"/>
        <v>0</v>
      </c>
      <c r="J34" s="384"/>
      <c r="K34" s="385"/>
      <c r="L34" s="386">
        <f t="shared" si="25"/>
        <v>0</v>
      </c>
      <c r="M34" s="385"/>
      <c r="N34" s="386">
        <f t="shared" si="4"/>
        <v>0</v>
      </c>
      <c r="O34" s="386">
        <f t="shared" si="5"/>
        <v>0</v>
      </c>
      <c r="P34" s="387"/>
      <c r="Q34" s="187"/>
      <c r="R34" s="387"/>
      <c r="S34" s="387"/>
      <c r="T34" s="387"/>
      <c r="U34" s="1"/>
    </row>
    <row r="35" spans="3:21">
      <c r="C35" s="49">
        <f>IF(D11="","-",+C34+1)</f>
        <v>2034</v>
      </c>
      <c r="D35" s="54">
        <f>IF(F34+SUM(E$17:E34)=D$10,F34,D$10-SUM(E$17:E34))</f>
        <v>31956496.91060628</v>
      </c>
      <c r="E35" s="377">
        <f>IF(+I14&lt;F34,I14,D35)</f>
        <v>2274915.625</v>
      </c>
      <c r="F35" s="54">
        <f t="shared" si="22"/>
        <v>29681581.28560628</v>
      </c>
      <c r="G35" s="378">
        <f t="shared" si="23"/>
        <v>5802152.412360413</v>
      </c>
      <c r="H35" s="359">
        <f t="shared" si="24"/>
        <v>5802152.412360413</v>
      </c>
      <c r="I35" s="51">
        <f t="shared" si="0"/>
        <v>0</v>
      </c>
      <c r="J35" s="51"/>
      <c r="K35" s="112"/>
      <c r="L35" s="53">
        <f t="shared" si="25"/>
        <v>0</v>
      </c>
      <c r="M35" s="112"/>
      <c r="N35" s="53">
        <f t="shared" si="4"/>
        <v>0</v>
      </c>
      <c r="O35" s="53">
        <f t="shared" si="5"/>
        <v>0</v>
      </c>
      <c r="P35" s="1"/>
      <c r="R35" s="1"/>
      <c r="S35" s="1"/>
      <c r="T35" s="1"/>
      <c r="U35" s="1"/>
    </row>
    <row r="36" spans="3:21">
      <c r="C36" s="49">
        <f>IF(D11="","-",+C35+1)</f>
        <v>2035</v>
      </c>
      <c r="D36" s="54">
        <f>IF(F35+SUM(E$17:E35)=D$10,F35,D$10-SUM(E$17:E35))</f>
        <v>29681581.28560628</v>
      </c>
      <c r="E36" s="377">
        <f>IF(+I14&lt;F35,I14,D36)</f>
        <v>2274915.625</v>
      </c>
      <c r="F36" s="54">
        <f t="shared" si="22"/>
        <v>27406665.66060628</v>
      </c>
      <c r="G36" s="378">
        <f t="shared" si="23"/>
        <v>5541788.4842347614</v>
      </c>
      <c r="H36" s="359">
        <f t="shared" si="24"/>
        <v>5541788.4842347614</v>
      </c>
      <c r="I36" s="51">
        <f t="shared" si="0"/>
        <v>0</v>
      </c>
      <c r="J36" s="51"/>
      <c r="K36" s="112"/>
      <c r="L36" s="53">
        <f t="shared" si="25"/>
        <v>0</v>
      </c>
      <c r="M36" s="112"/>
      <c r="N36" s="53">
        <f t="shared" si="4"/>
        <v>0</v>
      </c>
      <c r="O36" s="53">
        <f t="shared" si="5"/>
        <v>0</v>
      </c>
      <c r="P36" s="1"/>
      <c r="R36" s="1"/>
      <c r="S36" s="1"/>
      <c r="T36" s="1"/>
      <c r="U36" s="1"/>
    </row>
    <row r="37" spans="3:21">
      <c r="C37" s="49">
        <f>IF(D11="","-",+C36+1)</f>
        <v>2036</v>
      </c>
      <c r="D37" s="54">
        <f>IF(F36+SUM(E$17:E36)=D$10,F36,D$10-SUM(E$17:E36))</f>
        <v>27406665.66060628</v>
      </c>
      <c r="E37" s="377">
        <f>IF(+I14&lt;F36,I14,D37)</f>
        <v>2274915.625</v>
      </c>
      <c r="F37" s="54">
        <f t="shared" si="22"/>
        <v>25131750.03560628</v>
      </c>
      <c r="G37" s="378">
        <f t="shared" si="23"/>
        <v>5281424.5561091099</v>
      </c>
      <c r="H37" s="359">
        <f t="shared" si="24"/>
        <v>5281424.5561091099</v>
      </c>
      <c r="I37" s="51">
        <f t="shared" si="0"/>
        <v>0</v>
      </c>
      <c r="J37" s="51"/>
      <c r="K37" s="112"/>
      <c r="L37" s="53">
        <f t="shared" si="25"/>
        <v>0</v>
      </c>
      <c r="M37" s="112"/>
      <c r="N37" s="53">
        <f t="shared" si="4"/>
        <v>0</v>
      </c>
      <c r="O37" s="53">
        <f t="shared" si="5"/>
        <v>0</v>
      </c>
      <c r="P37" s="1"/>
      <c r="R37" s="1"/>
      <c r="S37" s="1"/>
      <c r="T37" s="1"/>
      <c r="U37" s="1"/>
    </row>
    <row r="38" spans="3:21">
      <c r="C38" s="49">
        <f>IF(D11="","-",+C37+1)</f>
        <v>2037</v>
      </c>
      <c r="D38" s="54">
        <f>IF(F37+SUM(E$17:E37)=D$10,F37,D$10-SUM(E$17:E37))</f>
        <v>25131750.03560628</v>
      </c>
      <c r="E38" s="377">
        <f>IF(+I14&lt;F37,I14,D38)</f>
        <v>2274915.625</v>
      </c>
      <c r="F38" s="54">
        <f t="shared" si="22"/>
        <v>22856834.41060628</v>
      </c>
      <c r="G38" s="378">
        <f t="shared" si="23"/>
        <v>5021060.6279834565</v>
      </c>
      <c r="H38" s="359">
        <f t="shared" si="24"/>
        <v>5021060.6279834565</v>
      </c>
      <c r="I38" s="51">
        <f t="shared" si="0"/>
        <v>0</v>
      </c>
      <c r="J38" s="51"/>
      <c r="K38" s="112"/>
      <c r="L38" s="53">
        <f t="shared" si="25"/>
        <v>0</v>
      </c>
      <c r="M38" s="112"/>
      <c r="N38" s="53">
        <f t="shared" si="4"/>
        <v>0</v>
      </c>
      <c r="O38" s="53">
        <f t="shared" si="5"/>
        <v>0</v>
      </c>
      <c r="P38" s="1"/>
      <c r="R38" s="1"/>
      <c r="S38" s="1"/>
      <c r="T38" s="1"/>
      <c r="U38" s="1"/>
    </row>
    <row r="39" spans="3:21">
      <c r="C39" s="49">
        <f>IF(D11="","-",+C38+1)</f>
        <v>2038</v>
      </c>
      <c r="D39" s="54">
        <f>IF(F38+SUM(E$17:E38)=D$10,F38,D$10-SUM(E$17:E38))</f>
        <v>22856834.41060628</v>
      </c>
      <c r="E39" s="377">
        <f>IF(+I14&lt;F38,I14,D39)</f>
        <v>2274915.625</v>
      </c>
      <c r="F39" s="54">
        <f t="shared" si="22"/>
        <v>20581918.78560628</v>
      </c>
      <c r="G39" s="378">
        <f t="shared" si="23"/>
        <v>4760696.6998578049</v>
      </c>
      <c r="H39" s="359">
        <f t="shared" si="24"/>
        <v>4760696.6998578049</v>
      </c>
      <c r="I39" s="51">
        <f t="shared" si="0"/>
        <v>0</v>
      </c>
      <c r="J39" s="51"/>
      <c r="K39" s="112"/>
      <c r="L39" s="53">
        <f t="shared" si="25"/>
        <v>0</v>
      </c>
      <c r="M39" s="112"/>
      <c r="N39" s="53">
        <f t="shared" si="4"/>
        <v>0</v>
      </c>
      <c r="O39" s="53">
        <f t="shared" si="5"/>
        <v>0</v>
      </c>
      <c r="P39" s="1"/>
      <c r="R39" s="1"/>
      <c r="S39" s="1"/>
      <c r="T39" s="1"/>
      <c r="U39" s="1"/>
    </row>
    <row r="40" spans="3:21">
      <c r="C40" s="49">
        <f>IF(D11="","-",+C39+1)</f>
        <v>2039</v>
      </c>
      <c r="D40" s="54">
        <f>IF(F39+SUM(E$17:E39)=D$10,F39,D$10-SUM(E$17:E39))</f>
        <v>20581918.78560628</v>
      </c>
      <c r="E40" s="377">
        <f>IF(+I14&lt;F39,I14,D40)</f>
        <v>2274915.625</v>
      </c>
      <c r="F40" s="54">
        <f t="shared" si="22"/>
        <v>18307003.16060628</v>
      </c>
      <c r="G40" s="378">
        <f t="shared" si="23"/>
        <v>4500332.7717321534</v>
      </c>
      <c r="H40" s="359">
        <f t="shared" si="24"/>
        <v>4500332.7717321534</v>
      </c>
      <c r="I40" s="51">
        <f t="shared" si="0"/>
        <v>0</v>
      </c>
      <c r="J40" s="51"/>
      <c r="K40" s="112"/>
      <c r="L40" s="53">
        <f t="shared" si="25"/>
        <v>0</v>
      </c>
      <c r="M40" s="112"/>
      <c r="N40" s="53">
        <f t="shared" si="4"/>
        <v>0</v>
      </c>
      <c r="O40" s="53">
        <f t="shared" si="5"/>
        <v>0</v>
      </c>
      <c r="P40" s="1"/>
      <c r="R40" s="1"/>
      <c r="S40" s="1"/>
      <c r="T40" s="1"/>
      <c r="U40" s="1"/>
    </row>
    <row r="41" spans="3:21">
      <c r="C41" s="49">
        <f>IF(D12="","-",+C40+1)</f>
        <v>2040</v>
      </c>
      <c r="D41" s="54">
        <f>IF(F40+SUM(E$17:E40)=D$10,F40,D$10-SUM(E$17:E40))</f>
        <v>18307003.16060628</v>
      </c>
      <c r="E41" s="377">
        <f>IF(+I14&lt;F40,I14,D41)</f>
        <v>2274915.625</v>
      </c>
      <c r="F41" s="54">
        <f t="shared" si="22"/>
        <v>16032087.53560628</v>
      </c>
      <c r="G41" s="378">
        <f t="shared" si="23"/>
        <v>4239968.8436065009</v>
      </c>
      <c r="H41" s="359">
        <f t="shared" si="24"/>
        <v>4239968.8436065009</v>
      </c>
      <c r="I41" s="51">
        <f t="shared" si="0"/>
        <v>0</v>
      </c>
      <c r="J41" s="51"/>
      <c r="K41" s="112"/>
      <c r="L41" s="53">
        <f t="shared" si="25"/>
        <v>0</v>
      </c>
      <c r="M41" s="112"/>
      <c r="N41" s="53">
        <f t="shared" si="4"/>
        <v>0</v>
      </c>
      <c r="O41" s="53">
        <f t="shared" si="5"/>
        <v>0</v>
      </c>
      <c r="P41" s="1"/>
      <c r="R41" s="1"/>
      <c r="S41" s="1"/>
      <c r="T41" s="1"/>
      <c r="U41" s="1"/>
    </row>
    <row r="42" spans="3:21">
      <c r="C42" s="49">
        <f>IF(D13="","-",+C41+1)</f>
        <v>2041</v>
      </c>
      <c r="D42" s="54">
        <f>IF(F41+SUM(E$17:E41)=D$10,F41,D$10-SUM(E$17:E41))</f>
        <v>16032087.53560628</v>
      </c>
      <c r="E42" s="377">
        <f>IF(+I14&lt;F41,I14,D42)</f>
        <v>2274915.625</v>
      </c>
      <c r="F42" s="54">
        <f t="shared" si="22"/>
        <v>13757171.91060628</v>
      </c>
      <c r="G42" s="378">
        <f t="shared" si="23"/>
        <v>3979604.9154808484</v>
      </c>
      <c r="H42" s="359">
        <f t="shared" si="24"/>
        <v>3979604.9154808484</v>
      </c>
      <c r="I42" s="51">
        <f t="shared" si="0"/>
        <v>0</v>
      </c>
      <c r="J42" s="51"/>
      <c r="K42" s="112"/>
      <c r="L42" s="53">
        <f t="shared" si="25"/>
        <v>0</v>
      </c>
      <c r="M42" s="112"/>
      <c r="N42" s="53">
        <f t="shared" si="4"/>
        <v>0</v>
      </c>
      <c r="O42" s="53">
        <f t="shared" si="5"/>
        <v>0</v>
      </c>
      <c r="P42" s="1"/>
      <c r="R42" s="1"/>
      <c r="S42" s="1"/>
      <c r="T42" s="1"/>
      <c r="U42" s="1"/>
    </row>
    <row r="43" spans="3:21">
      <c r="C43" s="49">
        <f>IF(D14="","-",+C42+1)</f>
        <v>2042</v>
      </c>
      <c r="D43" s="54">
        <f>IF(F42+SUM(E$17:E42)=D$10,F42,D$10-SUM(E$17:E42))</f>
        <v>13757171.91060628</v>
      </c>
      <c r="E43" s="377">
        <f>IF(+I14&lt;F42,I14,D43)</f>
        <v>2274915.625</v>
      </c>
      <c r="F43" s="54">
        <f t="shared" si="22"/>
        <v>11482256.28560628</v>
      </c>
      <c r="G43" s="378">
        <f t="shared" si="23"/>
        <v>3719240.9873551964</v>
      </c>
      <c r="H43" s="359">
        <f t="shared" si="24"/>
        <v>3719240.9873551964</v>
      </c>
      <c r="I43" s="51">
        <f t="shared" si="0"/>
        <v>0</v>
      </c>
      <c r="J43" s="51"/>
      <c r="K43" s="112"/>
      <c r="L43" s="53">
        <f t="shared" si="25"/>
        <v>0</v>
      </c>
      <c r="M43" s="112"/>
      <c r="N43" s="53">
        <f t="shared" si="4"/>
        <v>0</v>
      </c>
      <c r="O43" s="53">
        <f t="shared" si="5"/>
        <v>0</v>
      </c>
      <c r="P43" s="1"/>
      <c r="R43" s="1"/>
      <c r="S43" s="1"/>
      <c r="T43" s="1"/>
      <c r="U43" s="1"/>
    </row>
    <row r="44" spans="3:21">
      <c r="C44" s="49">
        <f>IF(D11="","-",+C43+1)</f>
        <v>2043</v>
      </c>
      <c r="D44" s="54">
        <f>IF(F43+SUM(E$17:E43)=D$10,F43,D$10-SUM(E$17:E43))</f>
        <v>11482256.28560628</v>
      </c>
      <c r="E44" s="377">
        <f>IF(+I14&lt;F43,I14,D44)</f>
        <v>2274915.625</v>
      </c>
      <c r="F44" s="54">
        <f t="shared" si="22"/>
        <v>9207340.66060628</v>
      </c>
      <c r="G44" s="378">
        <f t="shared" si="23"/>
        <v>3458877.0592295444</v>
      </c>
      <c r="H44" s="359">
        <f t="shared" si="24"/>
        <v>3458877.0592295444</v>
      </c>
      <c r="I44" s="51">
        <f t="shared" si="0"/>
        <v>0</v>
      </c>
      <c r="J44" s="51"/>
      <c r="K44" s="112"/>
      <c r="L44" s="53">
        <f t="shared" si="25"/>
        <v>0</v>
      </c>
      <c r="M44" s="112"/>
      <c r="N44" s="53">
        <f t="shared" si="4"/>
        <v>0</v>
      </c>
      <c r="O44" s="53">
        <f t="shared" si="5"/>
        <v>0</v>
      </c>
      <c r="P44" s="1"/>
      <c r="R44" s="1"/>
      <c r="S44" s="1"/>
      <c r="T44" s="1"/>
      <c r="U44" s="1"/>
    </row>
    <row r="45" spans="3:21">
      <c r="C45" s="49">
        <f>IF(D11="","-",+C44+1)</f>
        <v>2044</v>
      </c>
      <c r="D45" s="54">
        <f>IF(F44+SUM(E$17:E44)=D$10,F44,D$10-SUM(E$17:E44))</f>
        <v>9207340.66060628</v>
      </c>
      <c r="E45" s="377">
        <f>IF(+I14&lt;F44,I14,D45)</f>
        <v>2274915.625</v>
      </c>
      <c r="F45" s="54">
        <f t="shared" si="22"/>
        <v>6932425.03560628</v>
      </c>
      <c r="G45" s="378">
        <f t="shared" si="23"/>
        <v>3198513.1311038919</v>
      </c>
      <c r="H45" s="359">
        <f t="shared" si="24"/>
        <v>3198513.1311038919</v>
      </c>
      <c r="I45" s="51">
        <f t="shared" si="0"/>
        <v>0</v>
      </c>
      <c r="J45" s="51"/>
      <c r="K45" s="112"/>
      <c r="L45" s="53">
        <f t="shared" si="25"/>
        <v>0</v>
      </c>
      <c r="M45" s="112"/>
      <c r="N45" s="53">
        <f t="shared" si="4"/>
        <v>0</v>
      </c>
      <c r="O45" s="53">
        <f t="shared" si="5"/>
        <v>0</v>
      </c>
      <c r="P45" s="1"/>
      <c r="R45" s="1"/>
      <c r="S45" s="1"/>
      <c r="T45" s="1"/>
      <c r="U45" s="1"/>
    </row>
    <row r="46" spans="3:21">
      <c r="C46" s="49">
        <f>IF(D11="","-",+C45+1)</f>
        <v>2045</v>
      </c>
      <c r="D46" s="54">
        <f>IF(F45+SUM(E$17:E45)=D$10,F45,D$10-SUM(E$17:E45))</f>
        <v>6932425.03560628</v>
      </c>
      <c r="E46" s="377">
        <f>IF(+I14&lt;F45,I14,D46)</f>
        <v>2274915.625</v>
      </c>
      <c r="F46" s="54">
        <f t="shared" si="22"/>
        <v>4657509.41060628</v>
      </c>
      <c r="G46" s="378">
        <f t="shared" si="23"/>
        <v>2938149.2029782399</v>
      </c>
      <c r="H46" s="359">
        <f t="shared" si="24"/>
        <v>2938149.2029782399</v>
      </c>
      <c r="I46" s="51">
        <f t="shared" si="0"/>
        <v>0</v>
      </c>
      <c r="J46" s="51"/>
      <c r="K46" s="112"/>
      <c r="L46" s="53">
        <f t="shared" si="25"/>
        <v>0</v>
      </c>
      <c r="M46" s="112"/>
      <c r="N46" s="53">
        <f t="shared" si="4"/>
        <v>0</v>
      </c>
      <c r="O46" s="53">
        <f t="shared" si="5"/>
        <v>0</v>
      </c>
      <c r="P46" s="1"/>
      <c r="R46" s="1"/>
      <c r="S46" s="1"/>
      <c r="T46" s="1"/>
      <c r="U46" s="1"/>
    </row>
    <row r="47" spans="3:21">
      <c r="C47" s="49">
        <f>IF(D11="","-",+C46+1)</f>
        <v>2046</v>
      </c>
      <c r="D47" s="54">
        <f>IF(F46+SUM(E$17:E46)=D$10,F46,D$10-SUM(E$17:E46))</f>
        <v>4657509.41060628</v>
      </c>
      <c r="E47" s="377">
        <f>IF(+I14&lt;F46,I14,D47)</f>
        <v>2274915.625</v>
      </c>
      <c r="F47" s="54">
        <f t="shared" si="22"/>
        <v>2382593.78560628</v>
      </c>
      <c r="G47" s="378">
        <f t="shared" si="23"/>
        <v>2677785.2748525878</v>
      </c>
      <c r="H47" s="359">
        <f t="shared" si="24"/>
        <v>2677785.2748525878</v>
      </c>
      <c r="I47" s="51">
        <f t="shared" si="0"/>
        <v>0</v>
      </c>
      <c r="J47" s="51"/>
      <c r="K47" s="112"/>
      <c r="L47" s="53">
        <f t="shared" si="25"/>
        <v>0</v>
      </c>
      <c r="M47" s="112"/>
      <c r="N47" s="53">
        <f t="shared" si="4"/>
        <v>0</v>
      </c>
      <c r="O47" s="53">
        <f t="shared" si="5"/>
        <v>0</v>
      </c>
      <c r="P47" s="1"/>
      <c r="R47" s="1"/>
      <c r="S47" s="1"/>
      <c r="T47" s="1"/>
      <c r="U47" s="1"/>
    </row>
    <row r="48" spans="3:21">
      <c r="C48" s="49">
        <f>IF(D11="","-",+C47+1)</f>
        <v>2047</v>
      </c>
      <c r="D48" s="54">
        <f>IF(F47+SUM(E$17:E47)=D$10,F47,D$10-SUM(E$17:E47))</f>
        <v>2382593.78560628</v>
      </c>
      <c r="E48" s="377">
        <f>IF(+I14&lt;F47,I14,D48)</f>
        <v>2274915.625</v>
      </c>
      <c r="F48" s="54">
        <f t="shared" si="22"/>
        <v>107678.16060627997</v>
      </c>
      <c r="G48" s="378">
        <f t="shared" si="23"/>
        <v>2417421.3467269354</v>
      </c>
      <c r="H48" s="359">
        <f t="shared" si="24"/>
        <v>2417421.3467269354</v>
      </c>
      <c r="I48" s="51">
        <f t="shared" si="0"/>
        <v>0</v>
      </c>
      <c r="J48" s="51"/>
      <c r="K48" s="112"/>
      <c r="L48" s="53">
        <f t="shared" si="25"/>
        <v>0</v>
      </c>
      <c r="M48" s="112"/>
      <c r="N48" s="53">
        <f t="shared" si="4"/>
        <v>0</v>
      </c>
      <c r="O48" s="53">
        <f t="shared" si="5"/>
        <v>0</v>
      </c>
      <c r="P48" s="1"/>
      <c r="R48" s="1"/>
      <c r="S48" s="1"/>
      <c r="T48" s="1"/>
      <c r="U48" s="1"/>
    </row>
    <row r="49" spans="3:21">
      <c r="C49" s="49">
        <f>IF(D11="","-",+C48+1)</f>
        <v>2048</v>
      </c>
      <c r="D49" s="54">
        <f>IF(F48+SUM(E$17:E48)=D$10,F48,D$10-SUM(E$17:E48))</f>
        <v>107678.16060627997</v>
      </c>
      <c r="E49" s="377">
        <f>IF(+I14&lt;F48,I14,D49)</f>
        <v>107678.16060627997</v>
      </c>
      <c r="F49" s="54">
        <f t="shared" si="22"/>
        <v>0</v>
      </c>
      <c r="G49" s="378">
        <f t="shared" si="23"/>
        <v>113840.03943833466</v>
      </c>
      <c r="H49" s="359">
        <f t="shared" si="24"/>
        <v>113840.03943833466</v>
      </c>
      <c r="I49" s="51">
        <f t="shared" si="0"/>
        <v>0</v>
      </c>
      <c r="J49" s="51"/>
      <c r="K49" s="112"/>
      <c r="L49" s="53">
        <f t="shared" si="25"/>
        <v>0</v>
      </c>
      <c r="M49" s="112"/>
      <c r="N49" s="53">
        <f t="shared" si="4"/>
        <v>0</v>
      </c>
      <c r="O49" s="53">
        <f t="shared" si="5"/>
        <v>0</v>
      </c>
      <c r="P49" s="1"/>
      <c r="R49" s="1"/>
      <c r="S49" s="1"/>
      <c r="T49" s="1"/>
      <c r="U49" s="1"/>
    </row>
    <row r="50" spans="3:21">
      <c r="C50" s="49">
        <f>IF(D11="","-",+C49+1)</f>
        <v>2049</v>
      </c>
      <c r="D50" s="54">
        <f>IF(F49+SUM(E$17:E49)=D$10,F49,D$10-SUM(E$17:E49))</f>
        <v>0</v>
      </c>
      <c r="E50" s="377">
        <f>IF(+I14&lt;F49,I14,D50)</f>
        <v>0</v>
      </c>
      <c r="F50" s="54">
        <f t="shared" si="22"/>
        <v>0</v>
      </c>
      <c r="G50" s="378">
        <f t="shared" si="23"/>
        <v>0</v>
      </c>
      <c r="H50" s="359">
        <f t="shared" si="24"/>
        <v>0</v>
      </c>
      <c r="I50" s="51">
        <f t="shared" si="0"/>
        <v>0</v>
      </c>
      <c r="J50" s="51"/>
      <c r="K50" s="112"/>
      <c r="L50" s="53">
        <f t="shared" si="25"/>
        <v>0</v>
      </c>
      <c r="M50" s="112"/>
      <c r="N50" s="53">
        <f t="shared" si="4"/>
        <v>0</v>
      </c>
      <c r="O50" s="53">
        <f t="shared" si="5"/>
        <v>0</v>
      </c>
      <c r="P50" s="1"/>
      <c r="R50" s="1"/>
      <c r="S50" s="1"/>
      <c r="T50" s="1"/>
      <c r="U50" s="1"/>
    </row>
    <row r="51" spans="3:21">
      <c r="C51" s="49">
        <f>IF(D11="","-",+C50+1)</f>
        <v>2050</v>
      </c>
      <c r="D51" s="54">
        <f>IF(F50+SUM(E$17:E50)=D$10,F50,D$10-SUM(E$17:E50))</f>
        <v>0</v>
      </c>
      <c r="E51" s="377">
        <f>IF(+I14&lt;F50,I14,D51)</f>
        <v>0</v>
      </c>
      <c r="F51" s="54">
        <f t="shared" si="22"/>
        <v>0</v>
      </c>
      <c r="G51" s="378">
        <f t="shared" si="23"/>
        <v>0</v>
      </c>
      <c r="H51" s="359">
        <f t="shared" si="24"/>
        <v>0</v>
      </c>
      <c r="I51" s="51">
        <f t="shared" si="0"/>
        <v>0</v>
      </c>
      <c r="J51" s="51"/>
      <c r="K51" s="112"/>
      <c r="L51" s="53">
        <f t="shared" si="25"/>
        <v>0</v>
      </c>
      <c r="M51" s="112"/>
      <c r="N51" s="53">
        <f t="shared" si="4"/>
        <v>0</v>
      </c>
      <c r="O51" s="53">
        <f t="shared" si="5"/>
        <v>0</v>
      </c>
      <c r="P51" s="1"/>
      <c r="R51" s="1"/>
      <c r="S51" s="1"/>
      <c r="T51" s="1"/>
      <c r="U51" s="1"/>
    </row>
    <row r="52" spans="3:21">
      <c r="C52" s="49">
        <f>IF(D11="","-",+C51+1)</f>
        <v>2051</v>
      </c>
      <c r="D52" s="54">
        <f>IF(F51+SUM(E$17:E51)=D$10,F51,D$10-SUM(E$17:E51))</f>
        <v>0</v>
      </c>
      <c r="E52" s="377">
        <f>IF(+I14&lt;F51,I14,D52)</f>
        <v>0</v>
      </c>
      <c r="F52" s="54">
        <f t="shared" si="22"/>
        <v>0</v>
      </c>
      <c r="G52" s="378">
        <f t="shared" si="23"/>
        <v>0</v>
      </c>
      <c r="H52" s="359">
        <f t="shared" si="24"/>
        <v>0</v>
      </c>
      <c r="I52" s="51">
        <f t="shared" si="0"/>
        <v>0</v>
      </c>
      <c r="J52" s="51"/>
      <c r="K52" s="112"/>
      <c r="L52" s="53">
        <f t="shared" si="25"/>
        <v>0</v>
      </c>
      <c r="M52" s="112"/>
      <c r="N52" s="53">
        <f t="shared" si="4"/>
        <v>0</v>
      </c>
      <c r="O52" s="53">
        <f t="shared" si="5"/>
        <v>0</v>
      </c>
      <c r="P52" s="1"/>
      <c r="R52" s="1"/>
      <c r="S52" s="1"/>
      <c r="T52" s="1"/>
      <c r="U52" s="1"/>
    </row>
    <row r="53" spans="3:21">
      <c r="C53" s="49">
        <f>IF(D11="","-",+C52+1)</f>
        <v>2052</v>
      </c>
      <c r="D53" s="54">
        <f>IF(F52+SUM(E$17:E52)=D$10,F52,D$10-SUM(E$17:E52))</f>
        <v>0</v>
      </c>
      <c r="E53" s="377">
        <f>IF(+I14&lt;F52,I14,D53)</f>
        <v>0</v>
      </c>
      <c r="F53" s="54">
        <f t="shared" si="22"/>
        <v>0</v>
      </c>
      <c r="G53" s="378">
        <f t="shared" si="23"/>
        <v>0</v>
      </c>
      <c r="H53" s="359">
        <f t="shared" si="24"/>
        <v>0</v>
      </c>
      <c r="I53" s="51">
        <f t="shared" si="0"/>
        <v>0</v>
      </c>
      <c r="J53" s="51"/>
      <c r="K53" s="112"/>
      <c r="L53" s="53">
        <f t="shared" si="25"/>
        <v>0</v>
      </c>
      <c r="M53" s="112"/>
      <c r="N53" s="53">
        <f t="shared" si="4"/>
        <v>0</v>
      </c>
      <c r="O53" s="53">
        <f t="shared" si="5"/>
        <v>0</v>
      </c>
      <c r="P53" s="1"/>
      <c r="R53" s="1"/>
      <c r="S53" s="1"/>
      <c r="T53" s="1"/>
      <c r="U53" s="1"/>
    </row>
    <row r="54" spans="3:21">
      <c r="C54" s="49">
        <f>IF(D11="","-",+C53+1)</f>
        <v>2053</v>
      </c>
      <c r="D54" s="54">
        <f>IF(F53+SUM(E$17:E53)=D$10,F53,D$10-SUM(E$17:E53))</f>
        <v>0</v>
      </c>
      <c r="E54" s="377">
        <f>IF(+I14&lt;F53,I14,D54)</f>
        <v>0</v>
      </c>
      <c r="F54" s="54">
        <f t="shared" si="22"/>
        <v>0</v>
      </c>
      <c r="G54" s="378">
        <f t="shared" si="23"/>
        <v>0</v>
      </c>
      <c r="H54" s="359">
        <f t="shared" si="24"/>
        <v>0</v>
      </c>
      <c r="I54" s="51">
        <f t="shared" si="0"/>
        <v>0</v>
      </c>
      <c r="J54" s="51"/>
      <c r="K54" s="112"/>
      <c r="L54" s="53">
        <f t="shared" si="25"/>
        <v>0</v>
      </c>
      <c r="M54" s="112"/>
      <c r="N54" s="53">
        <f t="shared" si="4"/>
        <v>0</v>
      </c>
      <c r="O54" s="53">
        <f t="shared" si="5"/>
        <v>0</v>
      </c>
      <c r="P54" s="1"/>
      <c r="R54" s="1"/>
      <c r="S54" s="1"/>
      <c r="T54" s="1"/>
      <c r="U54" s="1"/>
    </row>
    <row r="55" spans="3:21">
      <c r="C55" s="49">
        <f>IF(D11="","-",+C54+1)</f>
        <v>2054</v>
      </c>
      <c r="D55" s="54">
        <f>IF(F54+SUM(E$17:E54)=D$10,F54,D$10-SUM(E$17:E54))</f>
        <v>0</v>
      </c>
      <c r="E55" s="377">
        <f>IF(+I14&lt;F54,I14,D55)</f>
        <v>0</v>
      </c>
      <c r="F55" s="54">
        <f t="shared" si="22"/>
        <v>0</v>
      </c>
      <c r="G55" s="378">
        <f t="shared" si="23"/>
        <v>0</v>
      </c>
      <c r="H55" s="359">
        <f t="shared" si="24"/>
        <v>0</v>
      </c>
      <c r="I55" s="51">
        <f t="shared" si="0"/>
        <v>0</v>
      </c>
      <c r="J55" s="51"/>
      <c r="K55" s="112"/>
      <c r="L55" s="53">
        <f t="shared" si="25"/>
        <v>0</v>
      </c>
      <c r="M55" s="112"/>
      <c r="N55" s="53">
        <f t="shared" si="4"/>
        <v>0</v>
      </c>
      <c r="O55" s="53">
        <f t="shared" si="5"/>
        <v>0</v>
      </c>
      <c r="P55" s="1"/>
      <c r="R55" s="1"/>
      <c r="S55" s="1"/>
      <c r="T55" s="1"/>
      <c r="U55" s="1"/>
    </row>
    <row r="56" spans="3:21">
      <c r="C56" s="49">
        <f>IF(D11="","-",+C55+1)</f>
        <v>2055</v>
      </c>
      <c r="D56" s="54">
        <f>IF(F55+SUM(E$17:E55)=D$10,F55,D$10-SUM(E$17:E55))</f>
        <v>0</v>
      </c>
      <c r="E56" s="377">
        <f>IF(+I14&lt;F55,I14,D56)</f>
        <v>0</v>
      </c>
      <c r="F56" s="54">
        <f t="shared" si="22"/>
        <v>0</v>
      </c>
      <c r="G56" s="378">
        <f t="shared" si="23"/>
        <v>0</v>
      </c>
      <c r="H56" s="359">
        <f t="shared" si="24"/>
        <v>0</v>
      </c>
      <c r="I56" s="51">
        <f t="shared" si="0"/>
        <v>0</v>
      </c>
      <c r="J56" s="51"/>
      <c r="K56" s="112"/>
      <c r="L56" s="53">
        <f t="shared" si="25"/>
        <v>0</v>
      </c>
      <c r="M56" s="112"/>
      <c r="N56" s="53">
        <f t="shared" si="4"/>
        <v>0</v>
      </c>
      <c r="O56" s="53">
        <f t="shared" si="5"/>
        <v>0</v>
      </c>
      <c r="P56" s="1"/>
      <c r="R56" s="1"/>
      <c r="S56" s="1"/>
      <c r="T56" s="1"/>
      <c r="U56" s="1"/>
    </row>
    <row r="57" spans="3:21">
      <c r="C57" s="49">
        <f>IF(D11="","-",+C56+1)</f>
        <v>2056</v>
      </c>
      <c r="D57" s="54">
        <f>IF(F56+SUM(E$17:E56)=D$10,F56,D$10-SUM(E$17:E56))</f>
        <v>0</v>
      </c>
      <c r="E57" s="377">
        <f>IF(+I14&lt;F56,I14,D57)</f>
        <v>0</v>
      </c>
      <c r="F57" s="54">
        <f t="shared" si="22"/>
        <v>0</v>
      </c>
      <c r="G57" s="378">
        <f t="shared" si="23"/>
        <v>0</v>
      </c>
      <c r="H57" s="359">
        <f t="shared" si="24"/>
        <v>0</v>
      </c>
      <c r="I57" s="51">
        <f t="shared" si="0"/>
        <v>0</v>
      </c>
      <c r="J57" s="51"/>
      <c r="K57" s="112"/>
      <c r="L57" s="53">
        <f t="shared" si="25"/>
        <v>0</v>
      </c>
      <c r="M57" s="112"/>
      <c r="N57" s="53">
        <f t="shared" si="4"/>
        <v>0</v>
      </c>
      <c r="O57" s="53">
        <f t="shared" si="5"/>
        <v>0</v>
      </c>
      <c r="P57" s="1"/>
      <c r="R57" s="1"/>
      <c r="S57" s="1"/>
      <c r="T57" s="1"/>
      <c r="U57" s="1"/>
    </row>
    <row r="58" spans="3:21">
      <c r="C58" s="49">
        <f>IF(D11="","-",+C57+1)</f>
        <v>2057</v>
      </c>
      <c r="D58" s="54">
        <f>IF(F57+SUM(E$17:E57)=D$10,F57,D$10-SUM(E$17:E57))</f>
        <v>0</v>
      </c>
      <c r="E58" s="377">
        <f>IF(+I14&lt;F57,I14,D58)</f>
        <v>0</v>
      </c>
      <c r="F58" s="54">
        <f t="shared" si="22"/>
        <v>0</v>
      </c>
      <c r="G58" s="378">
        <f t="shared" si="23"/>
        <v>0</v>
      </c>
      <c r="H58" s="359">
        <f t="shared" si="24"/>
        <v>0</v>
      </c>
      <c r="I58" s="51">
        <f t="shared" si="0"/>
        <v>0</v>
      </c>
      <c r="J58" s="51"/>
      <c r="K58" s="112"/>
      <c r="L58" s="53">
        <f t="shared" si="25"/>
        <v>0</v>
      </c>
      <c r="M58" s="112"/>
      <c r="N58" s="53">
        <f t="shared" si="4"/>
        <v>0</v>
      </c>
      <c r="O58" s="53">
        <f t="shared" si="5"/>
        <v>0</v>
      </c>
      <c r="P58" s="1"/>
      <c r="R58" s="1"/>
      <c r="S58" s="1"/>
      <c r="T58" s="1"/>
      <c r="U58" s="1"/>
    </row>
    <row r="59" spans="3:21">
      <c r="C59" s="49">
        <f>IF(D11="","-",+C58+1)</f>
        <v>2058</v>
      </c>
      <c r="D59" s="54">
        <f>IF(F58+SUM(E$17:E58)=D$10,F58,D$10-SUM(E$17:E58))</f>
        <v>0</v>
      </c>
      <c r="E59" s="377">
        <f>IF(+I14&lt;F58,I14,D59)</f>
        <v>0</v>
      </c>
      <c r="F59" s="54">
        <f t="shared" si="22"/>
        <v>0</v>
      </c>
      <c r="G59" s="378">
        <f t="shared" si="23"/>
        <v>0</v>
      </c>
      <c r="H59" s="359">
        <f t="shared" si="24"/>
        <v>0</v>
      </c>
      <c r="I59" s="51">
        <f t="shared" si="0"/>
        <v>0</v>
      </c>
      <c r="J59" s="51"/>
      <c r="K59" s="112"/>
      <c r="L59" s="53">
        <f t="shared" si="25"/>
        <v>0</v>
      </c>
      <c r="M59" s="112"/>
      <c r="N59" s="53">
        <f t="shared" si="4"/>
        <v>0</v>
      </c>
      <c r="O59" s="53">
        <f t="shared" si="5"/>
        <v>0</v>
      </c>
      <c r="P59" s="1"/>
      <c r="R59" s="1"/>
      <c r="S59" s="1"/>
      <c r="T59" s="1"/>
      <c r="U59" s="1"/>
    </row>
    <row r="60" spans="3:21">
      <c r="C60" s="49">
        <f>IF(D11="","-",+C59+1)</f>
        <v>2059</v>
      </c>
      <c r="D60" s="54">
        <f>IF(F59+SUM(E$17:E59)=D$10,F59,D$10-SUM(E$17:E59))</f>
        <v>0</v>
      </c>
      <c r="E60" s="377">
        <f>IF(+I14&lt;F59,I14,D60)</f>
        <v>0</v>
      </c>
      <c r="F60" s="54">
        <f t="shared" si="22"/>
        <v>0</v>
      </c>
      <c r="G60" s="378">
        <f t="shared" si="23"/>
        <v>0</v>
      </c>
      <c r="H60" s="359">
        <f t="shared" si="24"/>
        <v>0</v>
      </c>
      <c r="I60" s="51">
        <f t="shared" si="0"/>
        <v>0</v>
      </c>
      <c r="J60" s="51"/>
      <c r="K60" s="112"/>
      <c r="L60" s="53">
        <f t="shared" si="25"/>
        <v>0</v>
      </c>
      <c r="M60" s="112"/>
      <c r="N60" s="53">
        <f t="shared" si="4"/>
        <v>0</v>
      </c>
      <c r="O60" s="53">
        <f t="shared" si="5"/>
        <v>0</v>
      </c>
      <c r="P60" s="1"/>
      <c r="R60" s="1"/>
      <c r="S60" s="1"/>
      <c r="T60" s="1"/>
      <c r="U60" s="1"/>
    </row>
    <row r="61" spans="3:21">
      <c r="C61" s="49">
        <f>IF(D11="","-",+C60+1)</f>
        <v>2060</v>
      </c>
      <c r="D61" s="54">
        <f>IF(F60+SUM(E$17:E60)=D$10,F60,D$10-SUM(E$17:E60))</f>
        <v>0</v>
      </c>
      <c r="E61" s="377">
        <f>IF(+I14&lt;F60,I14,D61)</f>
        <v>0</v>
      </c>
      <c r="F61" s="54">
        <f t="shared" si="22"/>
        <v>0</v>
      </c>
      <c r="G61" s="378">
        <f t="shared" si="23"/>
        <v>0</v>
      </c>
      <c r="H61" s="359">
        <f t="shared" si="24"/>
        <v>0</v>
      </c>
      <c r="I61" s="51">
        <f t="shared" si="0"/>
        <v>0</v>
      </c>
      <c r="J61" s="51"/>
      <c r="K61" s="112"/>
      <c r="L61" s="53">
        <f t="shared" si="25"/>
        <v>0</v>
      </c>
      <c r="M61" s="112"/>
      <c r="N61" s="53">
        <f t="shared" si="4"/>
        <v>0</v>
      </c>
      <c r="O61" s="53">
        <f t="shared" si="5"/>
        <v>0</v>
      </c>
      <c r="P61" s="1"/>
      <c r="R61" s="1"/>
      <c r="S61" s="1"/>
      <c r="T61" s="1"/>
      <c r="U61" s="1"/>
    </row>
    <row r="62" spans="3:21">
      <c r="C62" s="49">
        <f>IF(D11="","-",+C61+1)</f>
        <v>2061</v>
      </c>
      <c r="D62" s="54">
        <f>IF(F61+SUM(E$17:E61)=D$10,F61,D$10-SUM(E$17:E61))</f>
        <v>0</v>
      </c>
      <c r="E62" s="377">
        <f>IF(+I14&lt;F61,I14,D62)</f>
        <v>0</v>
      </c>
      <c r="F62" s="54">
        <f t="shared" si="22"/>
        <v>0</v>
      </c>
      <c r="G62" s="378">
        <f t="shared" si="23"/>
        <v>0</v>
      </c>
      <c r="H62" s="359">
        <f t="shared" si="24"/>
        <v>0</v>
      </c>
      <c r="I62" s="51">
        <f t="shared" si="0"/>
        <v>0</v>
      </c>
      <c r="J62" s="51"/>
      <c r="K62" s="112"/>
      <c r="L62" s="53">
        <f t="shared" si="25"/>
        <v>0</v>
      </c>
      <c r="M62" s="112"/>
      <c r="N62" s="53">
        <f t="shared" si="4"/>
        <v>0</v>
      </c>
      <c r="O62" s="53">
        <f t="shared" si="5"/>
        <v>0</v>
      </c>
      <c r="P62" s="1"/>
      <c r="R62" s="1"/>
      <c r="S62" s="1"/>
      <c r="T62" s="1"/>
      <c r="U62" s="1"/>
    </row>
    <row r="63" spans="3:21">
      <c r="C63" s="49">
        <f>IF(D11="","-",+C62+1)</f>
        <v>2062</v>
      </c>
      <c r="D63" s="54">
        <f>IF(F62+SUM(E$17:E62)=D$10,F62,D$10-SUM(E$17:E62))</f>
        <v>0</v>
      </c>
      <c r="E63" s="377">
        <f>IF(+I14&lt;F62,I14,D63)</f>
        <v>0</v>
      </c>
      <c r="F63" s="54">
        <f t="shared" si="22"/>
        <v>0</v>
      </c>
      <c r="G63" s="378">
        <f t="shared" si="23"/>
        <v>0</v>
      </c>
      <c r="H63" s="359">
        <f t="shared" si="24"/>
        <v>0</v>
      </c>
      <c r="I63" s="51">
        <f t="shared" si="0"/>
        <v>0</v>
      </c>
      <c r="J63" s="51"/>
      <c r="K63" s="112"/>
      <c r="L63" s="53">
        <f t="shared" si="25"/>
        <v>0</v>
      </c>
      <c r="M63" s="112"/>
      <c r="N63" s="53">
        <f t="shared" si="4"/>
        <v>0</v>
      </c>
      <c r="O63" s="53">
        <f t="shared" si="5"/>
        <v>0</v>
      </c>
      <c r="P63" s="1"/>
      <c r="R63" s="1"/>
      <c r="S63" s="1"/>
      <c r="T63" s="1"/>
      <c r="U63" s="1"/>
    </row>
    <row r="64" spans="3:21">
      <c r="C64" s="49">
        <f>IF(D11="","-",+C63+1)</f>
        <v>2063</v>
      </c>
      <c r="D64" s="54">
        <f>IF(F63+SUM(E$17:E63)=D$10,F63,D$10-SUM(E$17:E63))</f>
        <v>0</v>
      </c>
      <c r="E64" s="377">
        <f>IF(+I14&lt;F63,I14,D64)</f>
        <v>0</v>
      </c>
      <c r="F64" s="54">
        <f t="shared" si="22"/>
        <v>0</v>
      </c>
      <c r="G64" s="378">
        <f t="shared" si="23"/>
        <v>0</v>
      </c>
      <c r="H64" s="359">
        <f t="shared" si="24"/>
        <v>0</v>
      </c>
      <c r="I64" s="51">
        <f t="shared" si="0"/>
        <v>0</v>
      </c>
      <c r="J64" s="51"/>
      <c r="K64" s="112"/>
      <c r="L64" s="53">
        <f t="shared" si="25"/>
        <v>0</v>
      </c>
      <c r="M64" s="112"/>
      <c r="N64" s="53">
        <f t="shared" si="4"/>
        <v>0</v>
      </c>
      <c r="O64" s="53">
        <f t="shared" si="5"/>
        <v>0</v>
      </c>
      <c r="P64" s="1"/>
      <c r="R64" s="1"/>
      <c r="S64" s="1"/>
      <c r="T64" s="1"/>
      <c r="U64" s="1"/>
    </row>
    <row r="65" spans="2:21">
      <c r="C65" s="49">
        <f>IF(D11="","-",+C64+1)</f>
        <v>2064</v>
      </c>
      <c r="D65" s="54">
        <f>IF(F64+SUM(E$17:E64)=D$10,F64,D$10-SUM(E$17:E64))</f>
        <v>0</v>
      </c>
      <c r="E65" s="377">
        <f>IF(+I14&lt;F64,I14,D65)</f>
        <v>0</v>
      </c>
      <c r="F65" s="54">
        <f t="shared" si="22"/>
        <v>0</v>
      </c>
      <c r="G65" s="378">
        <f t="shared" si="23"/>
        <v>0</v>
      </c>
      <c r="H65" s="359">
        <f t="shared" si="24"/>
        <v>0</v>
      </c>
      <c r="I65" s="51">
        <f t="shared" si="0"/>
        <v>0</v>
      </c>
      <c r="J65" s="51"/>
      <c r="K65" s="112"/>
      <c r="L65" s="53">
        <f t="shared" si="25"/>
        <v>0</v>
      </c>
      <c r="M65" s="112"/>
      <c r="N65" s="53">
        <f t="shared" si="4"/>
        <v>0</v>
      </c>
      <c r="O65" s="53">
        <f t="shared" si="5"/>
        <v>0</v>
      </c>
      <c r="P65" s="1"/>
      <c r="R65" s="1"/>
      <c r="S65" s="1"/>
      <c r="T65" s="1"/>
      <c r="U65" s="1"/>
    </row>
    <row r="66" spans="2:21">
      <c r="C66" s="49">
        <f>IF(D11="","-",+C65+1)</f>
        <v>2065</v>
      </c>
      <c r="D66" s="54">
        <f>IF(F65+SUM(E$17:E65)=D$10,F65,D$10-SUM(E$17:E65))</f>
        <v>0</v>
      </c>
      <c r="E66" s="377">
        <f>IF(+I14&lt;F65,I14,D66)</f>
        <v>0</v>
      </c>
      <c r="F66" s="54">
        <f t="shared" si="22"/>
        <v>0</v>
      </c>
      <c r="G66" s="378">
        <f t="shared" si="23"/>
        <v>0</v>
      </c>
      <c r="H66" s="359">
        <f t="shared" si="24"/>
        <v>0</v>
      </c>
      <c r="I66" s="51">
        <f t="shared" si="0"/>
        <v>0</v>
      </c>
      <c r="J66" s="51"/>
      <c r="K66" s="112"/>
      <c r="L66" s="53">
        <f t="shared" si="25"/>
        <v>0</v>
      </c>
      <c r="M66" s="112"/>
      <c r="N66" s="53">
        <f t="shared" si="4"/>
        <v>0</v>
      </c>
      <c r="O66" s="53">
        <f t="shared" si="5"/>
        <v>0</v>
      </c>
      <c r="P66" s="1"/>
      <c r="R66" s="1"/>
      <c r="S66" s="1"/>
      <c r="T66" s="1"/>
      <c r="U66" s="1"/>
    </row>
    <row r="67" spans="2:21">
      <c r="C67" s="49">
        <f>IF(D11="","-",+C66+1)</f>
        <v>2066</v>
      </c>
      <c r="D67" s="54">
        <f>IF(F66+SUM(E$17:E66)=D$10,F66,D$10-SUM(E$17:E66))</f>
        <v>0</v>
      </c>
      <c r="E67" s="377">
        <f>IF(+I14&lt;F66,I14,D67)</f>
        <v>0</v>
      </c>
      <c r="F67" s="54">
        <f t="shared" si="22"/>
        <v>0</v>
      </c>
      <c r="G67" s="378">
        <f t="shared" si="23"/>
        <v>0</v>
      </c>
      <c r="H67" s="359">
        <f t="shared" si="24"/>
        <v>0</v>
      </c>
      <c r="I67" s="51">
        <f t="shared" si="0"/>
        <v>0</v>
      </c>
      <c r="J67" s="51"/>
      <c r="K67" s="112"/>
      <c r="L67" s="53">
        <f t="shared" si="25"/>
        <v>0</v>
      </c>
      <c r="M67" s="112"/>
      <c r="N67" s="53">
        <f t="shared" si="4"/>
        <v>0</v>
      </c>
      <c r="O67" s="53">
        <f t="shared" si="5"/>
        <v>0</v>
      </c>
      <c r="P67" s="1"/>
      <c r="R67" s="1"/>
      <c r="S67" s="1"/>
      <c r="T67" s="1"/>
      <c r="U67" s="1"/>
    </row>
    <row r="68" spans="2:21">
      <c r="C68" s="49">
        <f>IF(D11="","-",+C67+1)</f>
        <v>2067</v>
      </c>
      <c r="D68" s="54">
        <f>IF(F67+SUM(E$17:E67)=D$10,F67,D$10-SUM(E$17:E67))</f>
        <v>0</v>
      </c>
      <c r="E68" s="377">
        <f>IF(+I14&lt;F67,I14,D68)</f>
        <v>0</v>
      </c>
      <c r="F68" s="54">
        <f t="shared" si="22"/>
        <v>0</v>
      </c>
      <c r="G68" s="378">
        <f t="shared" si="23"/>
        <v>0</v>
      </c>
      <c r="H68" s="359">
        <f t="shared" si="24"/>
        <v>0</v>
      </c>
      <c r="I68" s="51">
        <f t="shared" si="0"/>
        <v>0</v>
      </c>
      <c r="J68" s="51"/>
      <c r="K68" s="112"/>
      <c r="L68" s="53">
        <f t="shared" si="25"/>
        <v>0</v>
      </c>
      <c r="M68" s="112"/>
      <c r="N68" s="53">
        <f t="shared" si="4"/>
        <v>0</v>
      </c>
      <c r="O68" s="53">
        <f t="shared" si="5"/>
        <v>0</v>
      </c>
      <c r="P68" s="1"/>
      <c r="R68" s="1"/>
      <c r="S68" s="1"/>
      <c r="T68" s="1"/>
      <c r="U68" s="1"/>
    </row>
    <row r="69" spans="2:21">
      <c r="C69" s="49">
        <f>IF(D11="","-",+C68+1)</f>
        <v>2068</v>
      </c>
      <c r="D69" s="54">
        <f>IF(F68+SUM(E$17:E68)=D$10,F68,D$10-SUM(E$17:E68))</f>
        <v>0</v>
      </c>
      <c r="E69" s="377">
        <f>IF(+I14&lt;F68,I14,D69)</f>
        <v>0</v>
      </c>
      <c r="F69" s="54">
        <f t="shared" si="22"/>
        <v>0</v>
      </c>
      <c r="G69" s="378">
        <f t="shared" si="23"/>
        <v>0</v>
      </c>
      <c r="H69" s="359">
        <f t="shared" si="24"/>
        <v>0</v>
      </c>
      <c r="I69" s="51">
        <f t="shared" si="0"/>
        <v>0</v>
      </c>
      <c r="J69" s="51"/>
      <c r="K69" s="112"/>
      <c r="L69" s="53">
        <f t="shared" si="25"/>
        <v>0</v>
      </c>
      <c r="M69" s="112"/>
      <c r="N69" s="53">
        <f t="shared" si="4"/>
        <v>0</v>
      </c>
      <c r="O69" s="53">
        <f t="shared" si="5"/>
        <v>0</v>
      </c>
      <c r="P69" s="1"/>
      <c r="R69" s="1"/>
      <c r="S69" s="1"/>
      <c r="T69" s="1"/>
      <c r="U69" s="1"/>
    </row>
    <row r="70" spans="2:21">
      <c r="C70" s="49">
        <f>IF(D11="","-",+C69+1)</f>
        <v>2069</v>
      </c>
      <c r="D70" s="54">
        <f>IF(F69+SUM(E$17:E69)=D$10,F69,D$10-SUM(E$17:E69))</f>
        <v>0</v>
      </c>
      <c r="E70" s="377">
        <f>IF(+I14&lt;F69,I14,D70)</f>
        <v>0</v>
      </c>
      <c r="F70" s="54">
        <f t="shared" si="22"/>
        <v>0</v>
      </c>
      <c r="G70" s="378">
        <f t="shared" si="23"/>
        <v>0</v>
      </c>
      <c r="H70" s="359">
        <f t="shared" si="24"/>
        <v>0</v>
      </c>
      <c r="I70" s="51">
        <f t="shared" si="0"/>
        <v>0</v>
      </c>
      <c r="J70" s="51"/>
      <c r="K70" s="112"/>
      <c r="L70" s="53">
        <f t="shared" si="25"/>
        <v>0</v>
      </c>
      <c r="M70" s="112"/>
      <c r="N70" s="53">
        <f t="shared" si="4"/>
        <v>0</v>
      </c>
      <c r="O70" s="53">
        <f t="shared" si="5"/>
        <v>0</v>
      </c>
      <c r="P70" s="1"/>
      <c r="R70" s="1"/>
      <c r="S70" s="1"/>
      <c r="T70" s="1"/>
      <c r="U70" s="1"/>
    </row>
    <row r="71" spans="2:21">
      <c r="C71" s="49">
        <f>IF(D11="","-",+C70+1)</f>
        <v>2070</v>
      </c>
      <c r="D71" s="54">
        <f>IF(F70+SUM(E$17:E70)=D$10,F70,D$10-SUM(E$17:E70))</f>
        <v>0</v>
      </c>
      <c r="E71" s="377">
        <f>IF(+I14&lt;F70,I14,D71)</f>
        <v>0</v>
      </c>
      <c r="F71" s="54">
        <f t="shared" si="22"/>
        <v>0</v>
      </c>
      <c r="G71" s="378">
        <f t="shared" si="23"/>
        <v>0</v>
      </c>
      <c r="H71" s="359">
        <f t="shared" si="24"/>
        <v>0</v>
      </c>
      <c r="I71" s="51">
        <f t="shared" si="0"/>
        <v>0</v>
      </c>
      <c r="J71" s="51"/>
      <c r="K71" s="112"/>
      <c r="L71" s="53">
        <f t="shared" si="25"/>
        <v>0</v>
      </c>
      <c r="M71" s="112"/>
      <c r="N71" s="53">
        <f t="shared" si="4"/>
        <v>0</v>
      </c>
      <c r="O71" s="53">
        <f t="shared" si="5"/>
        <v>0</v>
      </c>
      <c r="P71" s="1"/>
      <c r="R71" s="1"/>
      <c r="S71" s="1"/>
      <c r="T71" s="1"/>
      <c r="U71" s="1"/>
    </row>
    <row r="72" spans="2:21">
      <c r="C72" s="49">
        <f>IF(D11="","-",+C71+1)</f>
        <v>2071</v>
      </c>
      <c r="D72" s="54">
        <f>IF(F71+SUM(E$17:E71)=D$10,F71,D$10-SUM(E$17:E71))</f>
        <v>0</v>
      </c>
      <c r="E72" s="377">
        <f>IF(+I14&lt;F71,I14,D72)</f>
        <v>0</v>
      </c>
      <c r="F72" s="54">
        <f t="shared" si="22"/>
        <v>0</v>
      </c>
      <c r="G72" s="378">
        <f t="shared" si="23"/>
        <v>0</v>
      </c>
      <c r="H72" s="359">
        <f t="shared" si="24"/>
        <v>0</v>
      </c>
      <c r="I72" s="51">
        <f t="shared" si="0"/>
        <v>0</v>
      </c>
      <c r="J72" s="51"/>
      <c r="K72" s="112"/>
      <c r="L72" s="53">
        <f t="shared" si="25"/>
        <v>0</v>
      </c>
      <c r="M72" s="112"/>
      <c r="N72" s="53">
        <f t="shared" si="4"/>
        <v>0</v>
      </c>
      <c r="O72" s="53">
        <f t="shared" si="5"/>
        <v>0</v>
      </c>
      <c r="P72" s="1"/>
      <c r="R72" s="1"/>
      <c r="S72" s="1"/>
      <c r="T72" s="1"/>
      <c r="U72" s="1"/>
    </row>
    <row r="73" spans="2:21" ht="13.5" thickBot="1">
      <c r="C73" s="58">
        <f>IF(D11="","-",+C72+1)</f>
        <v>2072</v>
      </c>
      <c r="D73" s="59">
        <f>IF(F72+SUM(E$17:E72)=D$10,F72,D$10-SUM(E$17:E72))</f>
        <v>0</v>
      </c>
      <c r="E73" s="389">
        <f>IF(+I14&lt;F72,I14,D73)</f>
        <v>0</v>
      </c>
      <c r="F73" s="59">
        <f t="shared" si="22"/>
        <v>0</v>
      </c>
      <c r="G73" s="59">
        <f t="shared" si="23"/>
        <v>0</v>
      </c>
      <c r="H73" s="59">
        <f t="shared" si="24"/>
        <v>0</v>
      </c>
      <c r="I73" s="62">
        <f t="shared" si="0"/>
        <v>0</v>
      </c>
      <c r="J73" s="51"/>
      <c r="K73" s="113"/>
      <c r="L73" s="63">
        <f t="shared" si="25"/>
        <v>0</v>
      </c>
      <c r="M73" s="113"/>
      <c r="N73" s="63">
        <f t="shared" si="4"/>
        <v>0</v>
      </c>
      <c r="O73" s="63">
        <f t="shared" si="5"/>
        <v>0</v>
      </c>
      <c r="P73" s="1"/>
      <c r="R73" s="1"/>
      <c r="S73" s="1"/>
      <c r="T73" s="1"/>
      <c r="U73" s="1"/>
    </row>
    <row r="74" spans="2:21">
      <c r="C74" s="11" t="s">
        <v>75</v>
      </c>
      <c r="D74" s="242"/>
      <c r="E74" s="242">
        <f>SUM(E17:E73)</f>
        <v>68247468.75</v>
      </c>
      <c r="F74" s="242"/>
      <c r="G74" s="242">
        <f>SUM(G17:G73)</f>
        <v>190802001.74803418</v>
      </c>
      <c r="H74" s="242">
        <f>SUM(H17:H73)</f>
        <v>190802001.74803418</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14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8145427.7654912835</v>
      </c>
      <c r="N88" s="396">
        <f>IF(J93&lt;D11,0,VLOOKUP(J93,C17:O73,11))</f>
        <v>8145427.7654912835</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7077578.7096564462</v>
      </c>
      <c r="N89" s="399">
        <f>IF(J93&lt;D11,0,VLOOKUP(J93,C100:P155,7))</f>
        <v>7077578.7096564462</v>
      </c>
      <c r="O89" s="70">
        <f>+N89-M89</f>
        <v>0</v>
      </c>
      <c r="P89" s="1"/>
      <c r="Q89" s="1"/>
      <c r="R89" s="1"/>
      <c r="S89" s="1"/>
      <c r="T89" s="1"/>
      <c r="U89" s="1"/>
    </row>
    <row r="90" spans="1:21" ht="13.5" thickBot="1">
      <c r="C90" s="25" t="s">
        <v>82</v>
      </c>
      <c r="D90" s="96" t="str">
        <f>+D7</f>
        <v>Valliant-NW Texarkana 345 kV</v>
      </c>
      <c r="E90" s="1"/>
      <c r="F90" s="1"/>
      <c r="G90" s="1"/>
      <c r="H90" s="1"/>
      <c r="I90" s="260"/>
      <c r="J90" s="260"/>
      <c r="K90" s="400"/>
      <c r="L90" s="109" t="s">
        <v>135</v>
      </c>
      <c r="M90" s="401">
        <f>+M89-M88</f>
        <v>-1067849.0558348373</v>
      </c>
      <c r="N90" s="401">
        <f>+N89-N88</f>
        <v>-1067849.0558348373</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tr">
        <f>+D9</f>
        <v>TP 2009089</v>
      </c>
      <c r="E92" s="75" t="s">
        <v>310</v>
      </c>
      <c r="F92" s="527">
        <f>F9</f>
        <v>936</v>
      </c>
      <c r="G92" s="75"/>
      <c r="H92" s="75"/>
      <c r="I92" s="75"/>
      <c r="J92" s="75"/>
      <c r="Q92" s="1"/>
      <c r="R92" s="1"/>
      <c r="S92" s="1"/>
      <c r="T92" s="1"/>
      <c r="U92" s="1"/>
    </row>
    <row r="93" spans="1:21">
      <c r="C93" s="34" t="s">
        <v>49</v>
      </c>
      <c r="D93" s="358">
        <v>68247468.75</v>
      </c>
      <c r="E93" s="1" t="s">
        <v>84</v>
      </c>
      <c r="H93" s="2"/>
      <c r="I93" s="2"/>
      <c r="J93" s="36">
        <f>+'OKT.WS.G.BPU.ATRR.True-up'!M16</f>
        <v>2025</v>
      </c>
      <c r="K93" s="33"/>
      <c r="L93" s="242" t="s">
        <v>85</v>
      </c>
      <c r="P93" s="1"/>
      <c r="Q93" s="1"/>
      <c r="R93" s="1"/>
      <c r="S93" s="1"/>
      <c r="T93" s="1"/>
      <c r="U93" s="1"/>
    </row>
    <row r="94" spans="1:21">
      <c r="C94" s="34" t="s">
        <v>52</v>
      </c>
      <c r="D94" s="85">
        <f>IF(D11=I10,"",D11)</f>
        <v>2016</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412">
        <f>IF(D11=I10,"",D12)</f>
        <v>12</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2132733.3984375</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C100" s="49">
        <f>IF(D94= "","-",D94)</f>
        <v>2016</v>
      </c>
      <c r="D100" s="371">
        <v>0</v>
      </c>
      <c r="E100" s="373">
        <v>1692714.9</v>
      </c>
      <c r="F100" s="375">
        <v>67708596</v>
      </c>
      <c r="G100" s="375">
        <v>33854298</v>
      </c>
      <c r="H100" s="373">
        <v>3668771.9731289423</v>
      </c>
      <c r="I100" s="374">
        <v>3668771.9731289423</v>
      </c>
      <c r="J100" s="53">
        <f t="shared" ref="J100:J131" si="26">+I100-H100</f>
        <v>0</v>
      </c>
      <c r="K100" s="53"/>
      <c r="L100" s="53">
        <f>+H100</f>
        <v>3668771.9731289423</v>
      </c>
      <c r="M100" s="52">
        <f t="shared" ref="M100:M131" si="27">IF(L100&lt;&gt;0,+H100-L100,0)</f>
        <v>0</v>
      </c>
      <c r="N100" s="53">
        <f>+I100</f>
        <v>3668771.9731289423</v>
      </c>
      <c r="O100" s="52">
        <f t="shared" ref="O100:O131" si="28">IF(N100&lt;&gt;0,+I100-N100,0)</f>
        <v>0</v>
      </c>
      <c r="P100" s="52">
        <f t="shared" ref="P100:P131" si="29">+O100-M100</f>
        <v>0</v>
      </c>
      <c r="Q100" s="1"/>
      <c r="R100" s="1"/>
      <c r="S100" s="1"/>
      <c r="T100" s="1"/>
      <c r="U100" s="1"/>
    </row>
    <row r="101" spans="1:21">
      <c r="C101" s="49">
        <f>IF(D94="","-",+C100+1)</f>
        <v>2017</v>
      </c>
      <c r="D101" s="371">
        <v>66537373.100000001</v>
      </c>
      <c r="E101" s="373">
        <v>1705752.2</v>
      </c>
      <c r="F101" s="375">
        <v>64831620.899999999</v>
      </c>
      <c r="G101" s="375">
        <v>65684497</v>
      </c>
      <c r="H101" s="373">
        <v>9412899.4207950477</v>
      </c>
      <c r="I101" s="374">
        <v>9412899.4207950477</v>
      </c>
      <c r="J101" s="53">
        <f t="shared" si="26"/>
        <v>0</v>
      </c>
      <c r="K101" s="53"/>
      <c r="L101" s="53">
        <f t="shared" ref="L101:L106" si="30">H101</f>
        <v>9412899.4207950477</v>
      </c>
      <c r="M101" s="53">
        <f t="shared" ref="M101:M106" si="31">IF(L101&lt;&gt;0,+H101-L101,0)</f>
        <v>0</v>
      </c>
      <c r="N101" s="53">
        <f t="shared" ref="N101:N106" si="32">I101</f>
        <v>9412899.4207950477</v>
      </c>
      <c r="O101" s="53">
        <f>IF(N101&lt;&gt;0,+I101-N101,0)</f>
        <v>0</v>
      </c>
      <c r="P101" s="53">
        <f>+O101-M101</f>
        <v>0</v>
      </c>
      <c r="Q101" s="1"/>
      <c r="R101" s="1"/>
      <c r="S101" s="1"/>
      <c r="T101" s="1"/>
      <c r="U101" s="1"/>
    </row>
    <row r="102" spans="1:21">
      <c r="C102" s="49">
        <f>IF(D94="","-",+C101+1)</f>
        <v>2018</v>
      </c>
      <c r="D102" s="371">
        <v>64831620.899999999</v>
      </c>
      <c r="E102" s="373">
        <v>1895280.2222222222</v>
      </c>
      <c r="F102" s="375">
        <v>62936340.677777775</v>
      </c>
      <c r="G102" s="375">
        <v>63883980.788888887</v>
      </c>
      <c r="H102" s="373">
        <v>8639029.6924960874</v>
      </c>
      <c r="I102" s="374">
        <v>8639029.6924960874</v>
      </c>
      <c r="J102" s="53">
        <f t="shared" si="26"/>
        <v>0</v>
      </c>
      <c r="K102" s="53"/>
      <c r="L102" s="53">
        <f t="shared" si="30"/>
        <v>8639029.6924960874</v>
      </c>
      <c r="M102" s="53">
        <f t="shared" si="31"/>
        <v>0</v>
      </c>
      <c r="N102" s="53">
        <f t="shared" si="32"/>
        <v>8639029.6924960874</v>
      </c>
      <c r="O102" s="53">
        <f>IF(N102&lt;&gt;0,+I102-N102,0)</f>
        <v>0</v>
      </c>
      <c r="P102" s="53">
        <f>+O102-M102</f>
        <v>0</v>
      </c>
      <c r="Q102" s="1"/>
      <c r="R102" s="1"/>
      <c r="S102" s="1"/>
      <c r="T102" s="1"/>
      <c r="U102" s="1"/>
    </row>
    <row r="103" spans="1:21">
      <c r="C103" s="49">
        <f>IF(D94="","-",+C102+1)</f>
        <v>2019</v>
      </c>
      <c r="D103" s="371">
        <v>64646436.577777781</v>
      </c>
      <c r="E103" s="373">
        <v>1895763.0277777778</v>
      </c>
      <c r="F103" s="375">
        <v>62750673.550000004</v>
      </c>
      <c r="G103" s="375">
        <v>63698555.063888893</v>
      </c>
      <c r="H103" s="373">
        <v>8619938.5043946709</v>
      </c>
      <c r="I103" s="374">
        <v>8619938.5043946709</v>
      </c>
      <c r="J103" s="53">
        <f t="shared" si="26"/>
        <v>0</v>
      </c>
      <c r="K103" s="53"/>
      <c r="L103" s="53">
        <f t="shared" si="30"/>
        <v>8619938.5043946709</v>
      </c>
      <c r="M103" s="53">
        <f t="shared" si="31"/>
        <v>0</v>
      </c>
      <c r="N103" s="53">
        <f t="shared" si="32"/>
        <v>8619938.5043946709</v>
      </c>
      <c r="O103" s="53">
        <f>IF(N103&lt;&gt;0,+I103-N103,0)</f>
        <v>0</v>
      </c>
      <c r="P103" s="53">
        <f>+O103-M103</f>
        <v>0</v>
      </c>
      <c r="Q103" s="1"/>
      <c r="R103" s="1"/>
      <c r="S103" s="1"/>
      <c r="T103" s="1"/>
      <c r="U103" s="1"/>
    </row>
    <row r="104" spans="1:21">
      <c r="C104" s="49">
        <f>IF(D94="","-",+C103+1)</f>
        <v>2020</v>
      </c>
      <c r="D104" s="371">
        <v>61057958.649999999</v>
      </c>
      <c r="E104" s="373">
        <v>2437409.6071428573</v>
      </c>
      <c r="F104" s="375">
        <v>58620549.04285714</v>
      </c>
      <c r="G104" s="375">
        <v>59839253.846428573</v>
      </c>
      <c r="H104" s="373">
        <v>8805113.9847133383</v>
      </c>
      <c r="I104" s="374">
        <v>8805113.9847133383</v>
      </c>
      <c r="J104" s="53">
        <f t="shared" si="26"/>
        <v>0</v>
      </c>
      <c r="K104" s="53"/>
      <c r="L104" s="53">
        <f t="shared" si="30"/>
        <v>8805113.9847133383</v>
      </c>
      <c r="M104" s="53">
        <f t="shared" si="31"/>
        <v>0</v>
      </c>
      <c r="N104" s="53">
        <f t="shared" si="32"/>
        <v>8805113.9847133383</v>
      </c>
      <c r="O104" s="53">
        <f t="shared" si="28"/>
        <v>0</v>
      </c>
      <c r="P104" s="53">
        <f t="shared" si="29"/>
        <v>0</v>
      </c>
      <c r="Q104" s="1"/>
      <c r="R104" s="1"/>
      <c r="S104" s="1"/>
      <c r="T104" s="1"/>
      <c r="U104" s="1"/>
    </row>
    <row r="105" spans="1:21">
      <c r="C105" s="49">
        <f>IF(D94="","-",+C104+1)</f>
        <v>2021</v>
      </c>
      <c r="D105" s="371">
        <v>58620549.04285714</v>
      </c>
      <c r="E105" s="373">
        <v>2729898.76</v>
      </c>
      <c r="F105" s="375">
        <v>55890650.282857142</v>
      </c>
      <c r="G105" s="375">
        <v>57255599.662857145</v>
      </c>
      <c r="H105" s="373">
        <v>9483884.5595619641</v>
      </c>
      <c r="I105" s="374">
        <v>9483884.5595619641</v>
      </c>
      <c r="J105" s="53">
        <f t="shared" si="26"/>
        <v>0</v>
      </c>
      <c r="K105" s="53"/>
      <c r="L105" s="53">
        <f t="shared" si="30"/>
        <v>9483884.5595619641</v>
      </c>
      <c r="M105" s="53">
        <f t="shared" si="31"/>
        <v>0</v>
      </c>
      <c r="N105" s="53">
        <f t="shared" si="32"/>
        <v>9483884.5595619641</v>
      </c>
      <c r="O105" s="53">
        <f t="shared" si="28"/>
        <v>0</v>
      </c>
      <c r="P105" s="53">
        <f t="shared" si="29"/>
        <v>0</v>
      </c>
      <c r="Q105" s="1"/>
      <c r="R105" s="1"/>
      <c r="S105" s="1"/>
      <c r="T105" s="1"/>
      <c r="U105" s="1"/>
    </row>
    <row r="106" spans="1:21">
      <c r="C106" s="49">
        <f>IF(D94="","-",+C105+1)</f>
        <v>2022</v>
      </c>
      <c r="D106" s="371">
        <v>55890650.282857142</v>
      </c>
      <c r="E106" s="373">
        <v>3249879.4761904762</v>
      </c>
      <c r="F106" s="375">
        <v>52640770.806666665</v>
      </c>
      <c r="G106" s="375">
        <v>54265710.544761904</v>
      </c>
      <c r="H106" s="373">
        <v>9488592.0227581467</v>
      </c>
      <c r="I106" s="374">
        <v>9488592.0227581467</v>
      </c>
      <c r="J106" s="53">
        <f t="shared" si="26"/>
        <v>0</v>
      </c>
      <c r="K106" s="53"/>
      <c r="L106" s="53">
        <f t="shared" si="30"/>
        <v>9488592.0227581467</v>
      </c>
      <c r="M106" s="53">
        <f t="shared" si="31"/>
        <v>0</v>
      </c>
      <c r="N106" s="53">
        <f t="shared" si="32"/>
        <v>9488592.0227581467</v>
      </c>
      <c r="O106" s="53">
        <f t="shared" ref="O106" si="33">IF(N106&lt;&gt;0,+I106-N106,0)</f>
        <v>0</v>
      </c>
      <c r="P106" s="53">
        <f t="shared" ref="P106" si="34">+O106-M106</f>
        <v>0</v>
      </c>
      <c r="Q106" s="1"/>
      <c r="R106" s="1"/>
      <c r="S106" s="1"/>
      <c r="T106" s="1"/>
      <c r="U106" s="1"/>
    </row>
    <row r="107" spans="1:21">
      <c r="C107" s="49">
        <f>IF(D94="","-",+C106+1)</f>
        <v>2023</v>
      </c>
      <c r="D107" s="371">
        <v>52640770.556666672</v>
      </c>
      <c r="E107" s="373">
        <v>3591972.039473684</v>
      </c>
      <c r="F107" s="375">
        <v>49048798.51719299</v>
      </c>
      <c r="G107" s="375">
        <v>50844784.536929831</v>
      </c>
      <c r="H107" s="373">
        <v>9166297.2923795395</v>
      </c>
      <c r="I107" s="374">
        <v>9166297.2923795395</v>
      </c>
      <c r="J107" s="53">
        <f t="shared" si="26"/>
        <v>0</v>
      </c>
      <c r="K107" s="53"/>
      <c r="L107" s="53">
        <f t="shared" ref="L107" si="35">H107</f>
        <v>9166297.2923795395</v>
      </c>
      <c r="M107" s="53">
        <f t="shared" ref="M107" si="36">IF(L107&lt;&gt;0,+H107-L107,0)</f>
        <v>0</v>
      </c>
      <c r="N107" s="53">
        <f t="shared" ref="N107" si="37">I107</f>
        <v>9166297.2923795395</v>
      </c>
      <c r="O107" s="53">
        <f t="shared" ref="O107" si="38">IF(N107&lt;&gt;0,+I107-N107,0)</f>
        <v>0</v>
      </c>
      <c r="P107" s="53">
        <f t="shared" ref="P107" si="39">+O107-M107</f>
        <v>0</v>
      </c>
      <c r="Q107" s="1"/>
      <c r="R107" s="1"/>
      <c r="S107" s="1"/>
      <c r="T107" s="1"/>
      <c r="U107" s="1"/>
    </row>
    <row r="108" spans="1:21">
      <c r="C108" s="49">
        <f>IF(D94="","-",+C107+1)</f>
        <v>2024</v>
      </c>
      <c r="D108" s="371">
        <v>49048798.51719299</v>
      </c>
      <c r="E108" s="373">
        <v>4014556.9852941176</v>
      </c>
      <c r="F108" s="375">
        <v>45034241.531898871</v>
      </c>
      <c r="G108" s="375">
        <v>47041520.02454593</v>
      </c>
      <c r="H108" s="373">
        <v>9223238.9411492385</v>
      </c>
      <c r="I108" s="374">
        <v>9223238.9411492385</v>
      </c>
      <c r="J108" s="53">
        <f t="shared" si="26"/>
        <v>0</v>
      </c>
      <c r="K108" s="53"/>
      <c r="L108" s="53">
        <f t="shared" ref="L108" si="40">H108</f>
        <v>9223238.9411492385</v>
      </c>
      <c r="M108" s="53">
        <f t="shared" ref="M108" si="41">IF(L108&lt;&gt;0,+H108-L108,0)</f>
        <v>0</v>
      </c>
      <c r="N108" s="53">
        <f t="shared" ref="N108" si="42">I108</f>
        <v>9223238.9411492385</v>
      </c>
      <c r="O108" s="53">
        <f t="shared" ref="O108" si="43">IF(N108&lt;&gt;0,+I108-N108,0)</f>
        <v>0</v>
      </c>
      <c r="P108" s="53">
        <f t="shared" ref="P108" si="44">+O108-M108</f>
        <v>0</v>
      </c>
      <c r="Q108" s="1"/>
      <c r="R108" s="1"/>
      <c r="S108" s="1"/>
      <c r="T108" s="1"/>
      <c r="U108" s="1"/>
    </row>
    <row r="109" spans="1:21">
      <c r="C109" s="49">
        <f>IF(D94="","-",+C108+1)</f>
        <v>2025</v>
      </c>
      <c r="D109" s="11">
        <f>IF(F108+SUM(E$100:E108)=D$93,F108,D$93-SUM(E$100:E108))</f>
        <v>45034241.531898871</v>
      </c>
      <c r="E109" s="377">
        <f>IF(+J97&lt;F108,J97,D109)</f>
        <v>2132733.3984375</v>
      </c>
      <c r="F109" s="54">
        <f t="shared" ref="F109:F131" si="45">+D109-E109</f>
        <v>42901508.133461371</v>
      </c>
      <c r="G109" s="54">
        <f t="shared" ref="G109:G131" si="46">+(F109+D109)/2</f>
        <v>43967874.832680121</v>
      </c>
      <c r="H109" s="459">
        <f t="shared" ref="H109:H155" si="47">(D109+F109)/2*J$95+E109</f>
        <v>7077578.7096564462</v>
      </c>
      <c r="I109" s="446">
        <f t="shared" ref="I109:I155" si="48">+J$96*G109+E109</f>
        <v>7077578.7096564462</v>
      </c>
      <c r="J109" s="53">
        <f t="shared" si="26"/>
        <v>0</v>
      </c>
      <c r="K109" s="53"/>
      <c r="L109" s="112"/>
      <c r="M109" s="53">
        <f t="shared" si="27"/>
        <v>0</v>
      </c>
      <c r="N109" s="112"/>
      <c r="O109" s="53">
        <f t="shared" si="28"/>
        <v>0</v>
      </c>
      <c r="P109" s="53">
        <f t="shared" si="29"/>
        <v>0</v>
      </c>
      <c r="Q109" s="1"/>
      <c r="R109" s="1"/>
      <c r="S109" s="1"/>
      <c r="T109" s="1"/>
      <c r="U109" s="1"/>
    </row>
    <row r="110" spans="1:21">
      <c r="C110" s="49">
        <f>IF(D94="","-",+C109+1)</f>
        <v>2026</v>
      </c>
      <c r="D110" s="11">
        <f>IF(F109+SUM(E$100:E109)=D$93,F109,D$93-SUM(E$100:E109))</f>
        <v>42901508.133461371</v>
      </c>
      <c r="E110" s="377">
        <f>IF(+J97&lt;F109,J97,D110)</f>
        <v>2132733.3984375</v>
      </c>
      <c r="F110" s="54">
        <f t="shared" si="45"/>
        <v>40768774.735023871</v>
      </c>
      <c r="G110" s="54">
        <f t="shared" si="46"/>
        <v>41835141.434242621</v>
      </c>
      <c r="H110" s="459">
        <f t="shared" si="47"/>
        <v>6837720.9320068173</v>
      </c>
      <c r="I110" s="446">
        <f t="shared" si="48"/>
        <v>6837720.9320068173</v>
      </c>
      <c r="J110" s="53">
        <f t="shared" si="26"/>
        <v>0</v>
      </c>
      <c r="K110" s="53"/>
      <c r="L110" s="112"/>
      <c r="M110" s="53">
        <f t="shared" si="27"/>
        <v>0</v>
      </c>
      <c r="N110" s="112"/>
      <c r="O110" s="53">
        <f t="shared" si="28"/>
        <v>0</v>
      </c>
      <c r="P110" s="53">
        <f t="shared" si="29"/>
        <v>0</v>
      </c>
      <c r="Q110" s="1"/>
      <c r="R110" s="1"/>
      <c r="S110" s="1"/>
      <c r="T110" s="1"/>
      <c r="U110" s="1"/>
    </row>
    <row r="111" spans="1:21">
      <c r="C111" s="49">
        <f>IF(D94="","-",+C110+1)</f>
        <v>2027</v>
      </c>
      <c r="D111" s="11">
        <f>IF(F110+SUM(E$100:E110)=D$93,F110,D$93-SUM(E$100:E110))</f>
        <v>40768774.735023871</v>
      </c>
      <c r="E111" s="377">
        <f>IF(+J97&lt;F110,J97,D111)</f>
        <v>2132733.3984375</v>
      </c>
      <c r="F111" s="54">
        <f t="shared" si="45"/>
        <v>38636041.336586371</v>
      </c>
      <c r="G111" s="54">
        <f t="shared" si="46"/>
        <v>39702408.035805121</v>
      </c>
      <c r="H111" s="459">
        <f t="shared" si="47"/>
        <v>6597863.1543571874</v>
      </c>
      <c r="I111" s="446">
        <f t="shared" si="48"/>
        <v>6597863.1543571874</v>
      </c>
      <c r="J111" s="53">
        <f t="shared" si="26"/>
        <v>0</v>
      </c>
      <c r="K111" s="53"/>
      <c r="L111" s="112"/>
      <c r="M111" s="53">
        <f t="shared" si="27"/>
        <v>0</v>
      </c>
      <c r="N111" s="112"/>
      <c r="O111" s="53">
        <f t="shared" si="28"/>
        <v>0</v>
      </c>
      <c r="P111" s="53">
        <f t="shared" si="29"/>
        <v>0</v>
      </c>
      <c r="Q111" s="1"/>
      <c r="R111" s="1"/>
      <c r="S111" s="1"/>
      <c r="T111" s="1"/>
      <c r="U111" s="1"/>
    </row>
    <row r="112" spans="1:21">
      <c r="C112" s="49">
        <f>IF(D94="","-",+C111+1)</f>
        <v>2028</v>
      </c>
      <c r="D112" s="11">
        <f>IF(F111+SUM(E$100:E111)=D$93,F111,D$93-SUM(E$100:E111))</f>
        <v>38636041.336586371</v>
      </c>
      <c r="E112" s="377">
        <f>IF(+J97&lt;F111,J97,D112)</f>
        <v>2132733.3984375</v>
      </c>
      <c r="F112" s="54">
        <f t="shared" si="45"/>
        <v>36503307.938148871</v>
      </c>
      <c r="G112" s="54">
        <f t="shared" si="46"/>
        <v>37569674.637367621</v>
      </c>
      <c r="H112" s="459">
        <f t="shared" si="47"/>
        <v>6358005.3767075585</v>
      </c>
      <c r="I112" s="446">
        <f t="shared" si="48"/>
        <v>6358005.3767075585</v>
      </c>
      <c r="J112" s="53">
        <f t="shared" si="26"/>
        <v>0</v>
      </c>
      <c r="K112" s="53"/>
      <c r="L112" s="112"/>
      <c r="M112" s="53">
        <f t="shared" si="27"/>
        <v>0</v>
      </c>
      <c r="N112" s="112"/>
      <c r="O112" s="53">
        <f t="shared" si="28"/>
        <v>0</v>
      </c>
      <c r="P112" s="53">
        <f t="shared" si="29"/>
        <v>0</v>
      </c>
      <c r="Q112" s="1"/>
      <c r="R112" s="1"/>
      <c r="S112" s="1"/>
      <c r="T112" s="1"/>
      <c r="U112" s="1"/>
    </row>
    <row r="113" spans="3:21">
      <c r="C113" s="49">
        <f>IF(D94="","-",+C112+1)</f>
        <v>2029</v>
      </c>
      <c r="D113" s="11">
        <f>IF(F112+SUM(E$100:E112)=D$93,F112,D$93-SUM(E$100:E112))</f>
        <v>36503307.938148871</v>
      </c>
      <c r="E113" s="377">
        <f>IF(+J97&lt;F112,J97,D113)</f>
        <v>2132733.3984375</v>
      </c>
      <c r="F113" s="54">
        <f t="shared" si="45"/>
        <v>34370574.539711371</v>
      </c>
      <c r="G113" s="54">
        <f t="shared" si="46"/>
        <v>35436941.238930121</v>
      </c>
      <c r="H113" s="459">
        <f t="shared" si="47"/>
        <v>6118147.5990579296</v>
      </c>
      <c r="I113" s="446">
        <f t="shared" si="48"/>
        <v>6118147.5990579296</v>
      </c>
      <c r="J113" s="53">
        <f t="shared" si="26"/>
        <v>0</v>
      </c>
      <c r="K113" s="53"/>
      <c r="L113" s="112"/>
      <c r="M113" s="53">
        <f t="shared" si="27"/>
        <v>0</v>
      </c>
      <c r="N113" s="112"/>
      <c r="O113" s="53">
        <f t="shared" si="28"/>
        <v>0</v>
      </c>
      <c r="P113" s="53">
        <f t="shared" si="29"/>
        <v>0</v>
      </c>
      <c r="Q113" s="1"/>
      <c r="R113" s="1"/>
      <c r="S113" s="1"/>
      <c r="T113" s="1"/>
      <c r="U113" s="1"/>
    </row>
    <row r="114" spans="3:21">
      <c r="C114" s="49">
        <f>IF(D94="","-",+C113+1)</f>
        <v>2030</v>
      </c>
      <c r="D114" s="11">
        <f>IF(F113+SUM(E$100:E113)=D$93,F113,D$93-SUM(E$100:E113))</f>
        <v>34370574.539711371</v>
      </c>
      <c r="E114" s="377">
        <f>IF(+J97&lt;F113,J97,D114)</f>
        <v>2132733.3984375</v>
      </c>
      <c r="F114" s="54">
        <f t="shared" si="45"/>
        <v>32237841.141273871</v>
      </c>
      <c r="G114" s="54">
        <f t="shared" si="46"/>
        <v>33304207.840492621</v>
      </c>
      <c r="H114" s="459">
        <f t="shared" si="47"/>
        <v>5878289.8214082997</v>
      </c>
      <c r="I114" s="446">
        <f t="shared" si="48"/>
        <v>5878289.8214082997</v>
      </c>
      <c r="J114" s="53">
        <f t="shared" si="26"/>
        <v>0</v>
      </c>
      <c r="K114" s="53"/>
      <c r="L114" s="112"/>
      <c r="M114" s="53">
        <f t="shared" si="27"/>
        <v>0</v>
      </c>
      <c r="N114" s="112"/>
      <c r="O114" s="53">
        <f t="shared" si="28"/>
        <v>0</v>
      </c>
      <c r="P114" s="53">
        <f t="shared" si="29"/>
        <v>0</v>
      </c>
      <c r="Q114" s="1"/>
      <c r="R114" s="1"/>
      <c r="S114" s="1"/>
      <c r="T114" s="1"/>
      <c r="U114" s="1"/>
    </row>
    <row r="115" spans="3:21">
      <c r="C115" s="49">
        <f>IF(D94="","-",+C114+1)</f>
        <v>2031</v>
      </c>
      <c r="D115" s="11">
        <f>IF(F114+SUM(E$100:E114)=D$93,F114,D$93-SUM(E$100:E114))</f>
        <v>32237841.141273871</v>
      </c>
      <c r="E115" s="377">
        <f>IF(+J97&lt;F114,J97,D115)</f>
        <v>2132733.3984375</v>
      </c>
      <c r="F115" s="54">
        <f t="shared" si="45"/>
        <v>30105107.742836371</v>
      </c>
      <c r="G115" s="54">
        <f t="shared" si="46"/>
        <v>31171474.442055121</v>
      </c>
      <c r="H115" s="459">
        <f t="shared" si="47"/>
        <v>5638432.0437586699</v>
      </c>
      <c r="I115" s="446">
        <f t="shared" si="48"/>
        <v>5638432.0437586699</v>
      </c>
      <c r="J115" s="53">
        <f t="shared" si="26"/>
        <v>0</v>
      </c>
      <c r="K115" s="53"/>
      <c r="L115" s="112"/>
      <c r="M115" s="53">
        <f t="shared" si="27"/>
        <v>0</v>
      </c>
      <c r="N115" s="112"/>
      <c r="O115" s="53">
        <f t="shared" si="28"/>
        <v>0</v>
      </c>
      <c r="P115" s="53">
        <f t="shared" si="29"/>
        <v>0</v>
      </c>
      <c r="Q115" s="1"/>
      <c r="R115" s="1"/>
      <c r="S115" s="1"/>
      <c r="T115" s="1"/>
      <c r="U115" s="1"/>
    </row>
    <row r="116" spans="3:21">
      <c r="C116" s="49">
        <f>IF(D94="","-",+C115+1)</f>
        <v>2032</v>
      </c>
      <c r="D116" s="11">
        <f>IF(F115+SUM(E$100:E115)=D$93,F115,D$93-SUM(E$100:E115))</f>
        <v>30105107.742836371</v>
      </c>
      <c r="E116" s="377">
        <f>IF(+J97&lt;F115,J97,D116)</f>
        <v>2132733.3984375</v>
      </c>
      <c r="F116" s="54">
        <f t="shared" si="45"/>
        <v>27972374.344398871</v>
      </c>
      <c r="G116" s="54">
        <f t="shared" si="46"/>
        <v>29038741.043617621</v>
      </c>
      <c r="H116" s="459">
        <f t="shared" si="47"/>
        <v>5398574.2661090409</v>
      </c>
      <c r="I116" s="446">
        <f t="shared" si="48"/>
        <v>5398574.2661090409</v>
      </c>
      <c r="J116" s="53">
        <f t="shared" si="26"/>
        <v>0</v>
      </c>
      <c r="K116" s="53"/>
      <c r="L116" s="112"/>
      <c r="M116" s="53">
        <f t="shared" si="27"/>
        <v>0</v>
      </c>
      <c r="N116" s="112"/>
      <c r="O116" s="53">
        <f t="shared" si="28"/>
        <v>0</v>
      </c>
      <c r="P116" s="53">
        <f t="shared" si="29"/>
        <v>0</v>
      </c>
      <c r="Q116" s="1"/>
      <c r="R116" s="1"/>
      <c r="S116" s="1"/>
      <c r="T116" s="1"/>
      <c r="U116" s="1"/>
    </row>
    <row r="117" spans="3:21">
      <c r="C117" s="49">
        <f>IF(D94="","-",+C116+1)</f>
        <v>2033</v>
      </c>
      <c r="D117" s="11">
        <f>IF(F116+SUM(E$100:E116)=D$93,F116,D$93-SUM(E$100:E116))</f>
        <v>27972374.344398871</v>
      </c>
      <c r="E117" s="377">
        <f>IF(+J97&lt;F116,J97,D117)</f>
        <v>2132733.3984375</v>
      </c>
      <c r="F117" s="54">
        <f t="shared" si="45"/>
        <v>25839640.945961371</v>
      </c>
      <c r="G117" s="54">
        <f t="shared" si="46"/>
        <v>26906007.645180121</v>
      </c>
      <c r="H117" s="459">
        <f t="shared" si="47"/>
        <v>5158716.488459412</v>
      </c>
      <c r="I117" s="446">
        <f t="shared" si="48"/>
        <v>5158716.488459412</v>
      </c>
      <c r="J117" s="53">
        <f t="shared" si="26"/>
        <v>0</v>
      </c>
      <c r="K117" s="53"/>
      <c r="L117" s="112"/>
      <c r="M117" s="53">
        <f t="shared" si="27"/>
        <v>0</v>
      </c>
      <c r="N117" s="112"/>
      <c r="O117" s="53">
        <f t="shared" si="28"/>
        <v>0</v>
      </c>
      <c r="P117" s="53">
        <f t="shared" si="29"/>
        <v>0</v>
      </c>
      <c r="Q117" s="1"/>
      <c r="R117" s="1"/>
      <c r="S117" s="1"/>
      <c r="T117" s="1"/>
      <c r="U117" s="1"/>
    </row>
    <row r="118" spans="3:21">
      <c r="C118" s="49">
        <f>IF(D94="","-",+C117+1)</f>
        <v>2034</v>
      </c>
      <c r="D118" s="11">
        <f>IF(F117+SUM(E$100:E117)=D$93,F117,D$93-SUM(E$100:E117))</f>
        <v>25839640.945961371</v>
      </c>
      <c r="E118" s="377">
        <f>IF(+J97&lt;F117,J97,D118)</f>
        <v>2132733.3984375</v>
      </c>
      <c r="F118" s="54">
        <f t="shared" si="45"/>
        <v>23706907.547523871</v>
      </c>
      <c r="G118" s="54">
        <f t="shared" si="46"/>
        <v>24773274.246742621</v>
      </c>
      <c r="H118" s="459">
        <f t="shared" si="47"/>
        <v>4918858.7108097821</v>
      </c>
      <c r="I118" s="446">
        <f t="shared" si="48"/>
        <v>4918858.7108097821</v>
      </c>
      <c r="J118" s="53">
        <f t="shared" si="26"/>
        <v>0</v>
      </c>
      <c r="K118" s="53"/>
      <c r="L118" s="112"/>
      <c r="M118" s="53">
        <f t="shared" si="27"/>
        <v>0</v>
      </c>
      <c r="N118" s="112"/>
      <c r="O118" s="53">
        <f t="shared" si="28"/>
        <v>0</v>
      </c>
      <c r="P118" s="53">
        <f t="shared" si="29"/>
        <v>0</v>
      </c>
      <c r="Q118" s="1"/>
      <c r="R118" s="1"/>
      <c r="S118" s="1"/>
      <c r="T118" s="1"/>
      <c r="U118" s="1"/>
    </row>
    <row r="119" spans="3:21">
      <c r="C119" s="49">
        <f>IF(D94="","-",+C118+1)</f>
        <v>2035</v>
      </c>
      <c r="D119" s="11">
        <f>IF(F118+SUM(E$100:E118)=D$93,F118,D$93-SUM(E$100:E118))</f>
        <v>23706907.547523871</v>
      </c>
      <c r="E119" s="377">
        <f>IF(+J97&lt;F118,J97,D119)</f>
        <v>2132733.3984375</v>
      </c>
      <c r="F119" s="54">
        <f t="shared" si="45"/>
        <v>21574174.149086371</v>
      </c>
      <c r="G119" s="54">
        <f t="shared" si="46"/>
        <v>22640540.848305121</v>
      </c>
      <c r="H119" s="459">
        <f t="shared" si="47"/>
        <v>4679000.9331601532</v>
      </c>
      <c r="I119" s="446">
        <f t="shared" si="48"/>
        <v>4679000.9331601532</v>
      </c>
      <c r="J119" s="53">
        <f t="shared" si="26"/>
        <v>0</v>
      </c>
      <c r="K119" s="53"/>
      <c r="L119" s="112"/>
      <c r="M119" s="53">
        <f t="shared" si="27"/>
        <v>0</v>
      </c>
      <c r="N119" s="112"/>
      <c r="O119" s="53">
        <f t="shared" si="28"/>
        <v>0</v>
      </c>
      <c r="P119" s="53">
        <f t="shared" si="29"/>
        <v>0</v>
      </c>
      <c r="Q119" s="1"/>
      <c r="R119" s="1"/>
      <c r="S119" s="1"/>
      <c r="T119" s="1"/>
      <c r="U119" s="1"/>
    </row>
    <row r="120" spans="3:21">
      <c r="C120" s="49">
        <f>IF(D94="","-",+C119+1)</f>
        <v>2036</v>
      </c>
      <c r="D120" s="11">
        <f>IF(F119+SUM(E$100:E119)=D$93,F119,D$93-SUM(E$100:E119))</f>
        <v>21574174.149086371</v>
      </c>
      <c r="E120" s="377">
        <f>IF(+J97&lt;F119,J97,D120)</f>
        <v>2132733.3984375</v>
      </c>
      <c r="F120" s="54">
        <f t="shared" si="45"/>
        <v>19441440.750648871</v>
      </c>
      <c r="G120" s="54">
        <f t="shared" si="46"/>
        <v>20507807.449867621</v>
      </c>
      <c r="H120" s="459">
        <f t="shared" si="47"/>
        <v>4439143.1555105243</v>
      </c>
      <c r="I120" s="446">
        <f t="shared" si="48"/>
        <v>4439143.1555105243</v>
      </c>
      <c r="J120" s="53">
        <f t="shared" si="26"/>
        <v>0</v>
      </c>
      <c r="K120" s="53"/>
      <c r="L120" s="112"/>
      <c r="M120" s="53">
        <f t="shared" si="27"/>
        <v>0</v>
      </c>
      <c r="N120" s="112"/>
      <c r="O120" s="53">
        <f t="shared" si="28"/>
        <v>0</v>
      </c>
      <c r="P120" s="53">
        <f t="shared" si="29"/>
        <v>0</v>
      </c>
      <c r="Q120" s="1"/>
      <c r="R120" s="1"/>
      <c r="S120" s="1"/>
      <c r="T120" s="1"/>
      <c r="U120" s="1"/>
    </row>
    <row r="121" spans="3:21">
      <c r="C121" s="49">
        <f>IF(D94="","-",+C120+1)</f>
        <v>2037</v>
      </c>
      <c r="D121" s="11">
        <f>IF(F120+SUM(E$100:E120)=D$93,F120,D$93-SUM(E$100:E120))</f>
        <v>19441440.750648871</v>
      </c>
      <c r="E121" s="377">
        <f>IF(+J97&lt;F120,J97,D121)</f>
        <v>2132733.3984375</v>
      </c>
      <c r="F121" s="54">
        <f t="shared" si="45"/>
        <v>17308707.352211371</v>
      </c>
      <c r="G121" s="54">
        <f t="shared" si="46"/>
        <v>18375074.051430121</v>
      </c>
      <c r="H121" s="459">
        <f t="shared" si="47"/>
        <v>4199285.3778608944</v>
      </c>
      <c r="I121" s="446">
        <f t="shared" si="48"/>
        <v>4199285.3778608944</v>
      </c>
      <c r="J121" s="53">
        <f t="shared" si="26"/>
        <v>0</v>
      </c>
      <c r="K121" s="53"/>
      <c r="L121" s="112"/>
      <c r="M121" s="53">
        <f t="shared" si="27"/>
        <v>0</v>
      </c>
      <c r="N121" s="112"/>
      <c r="O121" s="53">
        <f t="shared" si="28"/>
        <v>0</v>
      </c>
      <c r="P121" s="53">
        <f t="shared" si="29"/>
        <v>0</v>
      </c>
      <c r="Q121" s="1"/>
      <c r="R121" s="1"/>
      <c r="S121" s="1"/>
      <c r="T121" s="1"/>
      <c r="U121" s="1"/>
    </row>
    <row r="122" spans="3:21">
      <c r="C122" s="49">
        <f>IF(D94="","-",+C121+1)</f>
        <v>2038</v>
      </c>
      <c r="D122" s="11">
        <f>IF(F121+SUM(E$100:E121)=D$93,F121,D$93-SUM(E$100:E121))</f>
        <v>17308707.352211371</v>
      </c>
      <c r="E122" s="377">
        <f>IF(+J97&lt;F121,J97,D122)</f>
        <v>2132733.3984375</v>
      </c>
      <c r="F122" s="54">
        <f t="shared" si="45"/>
        <v>15175973.953773871</v>
      </c>
      <c r="G122" s="54">
        <f t="shared" si="46"/>
        <v>16242340.652992621</v>
      </c>
      <c r="H122" s="459">
        <f t="shared" si="47"/>
        <v>3959427.6002112655</v>
      </c>
      <c r="I122" s="446">
        <f t="shared" si="48"/>
        <v>3959427.6002112655</v>
      </c>
      <c r="J122" s="53">
        <f t="shared" si="26"/>
        <v>0</v>
      </c>
      <c r="K122" s="53"/>
      <c r="L122" s="112"/>
      <c r="M122" s="53">
        <f t="shared" si="27"/>
        <v>0</v>
      </c>
      <c r="N122" s="112"/>
      <c r="O122" s="53">
        <f t="shared" si="28"/>
        <v>0</v>
      </c>
      <c r="P122" s="53">
        <f t="shared" si="29"/>
        <v>0</v>
      </c>
      <c r="Q122" s="1"/>
      <c r="R122" s="1"/>
      <c r="S122" s="1"/>
      <c r="T122" s="1"/>
      <c r="U122" s="1"/>
    </row>
    <row r="123" spans="3:21">
      <c r="C123" s="49">
        <f>IF(D94="","-",+C122+1)</f>
        <v>2039</v>
      </c>
      <c r="D123" s="11">
        <f>IF(F122+SUM(E$100:E122)=D$93,F122,D$93-SUM(E$100:E122))</f>
        <v>15175973.953773871</v>
      </c>
      <c r="E123" s="377">
        <f>IF(+J97&lt;F122,J97,D123)</f>
        <v>2132733.3984375</v>
      </c>
      <c r="F123" s="54">
        <f t="shared" si="45"/>
        <v>13043240.555336371</v>
      </c>
      <c r="G123" s="54">
        <f t="shared" si="46"/>
        <v>14109607.254555121</v>
      </c>
      <c r="H123" s="459">
        <f t="shared" si="47"/>
        <v>3719569.8225616361</v>
      </c>
      <c r="I123" s="446">
        <f t="shared" si="48"/>
        <v>3719569.8225616361</v>
      </c>
      <c r="J123" s="53">
        <f t="shared" si="26"/>
        <v>0</v>
      </c>
      <c r="K123" s="53"/>
      <c r="L123" s="112"/>
      <c r="M123" s="53">
        <f t="shared" si="27"/>
        <v>0</v>
      </c>
      <c r="N123" s="112"/>
      <c r="O123" s="53">
        <f t="shared" si="28"/>
        <v>0</v>
      </c>
      <c r="P123" s="53">
        <f t="shared" si="29"/>
        <v>0</v>
      </c>
      <c r="Q123" s="1"/>
      <c r="R123" s="1"/>
      <c r="S123" s="1"/>
      <c r="T123" s="1"/>
      <c r="U123" s="1"/>
    </row>
    <row r="124" spans="3:21">
      <c r="C124" s="49">
        <f>IF(D94="","-",+C123+1)</f>
        <v>2040</v>
      </c>
      <c r="D124" s="11">
        <f>IF(F123+SUM(E$100:E123)=D$93,F123,D$93-SUM(E$100:E123))</f>
        <v>13043240.555336371</v>
      </c>
      <c r="E124" s="377">
        <f>IF(+J97&lt;F123,J97,D124)</f>
        <v>2132733.3984375</v>
      </c>
      <c r="F124" s="54">
        <f t="shared" si="45"/>
        <v>10910507.156898871</v>
      </c>
      <c r="G124" s="54">
        <f t="shared" si="46"/>
        <v>11976873.856117621</v>
      </c>
      <c r="H124" s="459">
        <f t="shared" si="47"/>
        <v>3479712.0449120067</v>
      </c>
      <c r="I124" s="446">
        <f t="shared" si="48"/>
        <v>3479712.0449120067</v>
      </c>
      <c r="J124" s="53">
        <f t="shared" si="26"/>
        <v>0</v>
      </c>
      <c r="K124" s="53"/>
      <c r="L124" s="112"/>
      <c r="M124" s="53">
        <f t="shared" si="27"/>
        <v>0</v>
      </c>
      <c r="N124" s="112"/>
      <c r="O124" s="53">
        <f t="shared" si="28"/>
        <v>0</v>
      </c>
      <c r="P124" s="53">
        <f t="shared" si="29"/>
        <v>0</v>
      </c>
      <c r="Q124" s="1"/>
      <c r="R124" s="1"/>
      <c r="S124" s="1"/>
      <c r="T124" s="1"/>
      <c r="U124" s="1"/>
    </row>
    <row r="125" spans="3:21">
      <c r="C125" s="49">
        <f>IF(D94="","-",+C124+1)</f>
        <v>2041</v>
      </c>
      <c r="D125" s="11">
        <f>IF(F124+SUM(E$100:E124)=D$93,F124,D$93-SUM(E$100:E124))</f>
        <v>10910507.156898871</v>
      </c>
      <c r="E125" s="377">
        <f>IF(+J97&lt;F124,J97,D125)</f>
        <v>2132733.3984375</v>
      </c>
      <c r="F125" s="54">
        <f t="shared" si="45"/>
        <v>8777773.7584613711</v>
      </c>
      <c r="G125" s="54">
        <f t="shared" si="46"/>
        <v>9844140.4576801211</v>
      </c>
      <c r="H125" s="459">
        <f t="shared" si="47"/>
        <v>3239854.2672623778</v>
      </c>
      <c r="I125" s="446">
        <f t="shared" si="48"/>
        <v>3239854.2672623778</v>
      </c>
      <c r="J125" s="53">
        <f t="shared" si="26"/>
        <v>0</v>
      </c>
      <c r="K125" s="53"/>
      <c r="L125" s="112"/>
      <c r="M125" s="53">
        <f t="shared" si="27"/>
        <v>0</v>
      </c>
      <c r="N125" s="112"/>
      <c r="O125" s="53">
        <f t="shared" si="28"/>
        <v>0</v>
      </c>
      <c r="P125" s="53">
        <f t="shared" si="29"/>
        <v>0</v>
      </c>
      <c r="Q125" s="1"/>
      <c r="R125" s="1"/>
      <c r="S125" s="1"/>
      <c r="T125" s="1"/>
      <c r="U125" s="1"/>
    </row>
    <row r="126" spans="3:21">
      <c r="C126" s="49">
        <f>IF(D94="","-",+C125+1)</f>
        <v>2042</v>
      </c>
      <c r="D126" s="11">
        <f>IF(F125+SUM(E$100:E125)=D$93,F125,D$93-SUM(E$100:E125))</f>
        <v>8777773.7584613711</v>
      </c>
      <c r="E126" s="377">
        <f>IF(+J97&lt;F125,J97,D126)</f>
        <v>2132733.3984375</v>
      </c>
      <c r="F126" s="54">
        <f t="shared" si="45"/>
        <v>6645040.3600238711</v>
      </c>
      <c r="G126" s="54">
        <f t="shared" si="46"/>
        <v>7711407.0592426211</v>
      </c>
      <c r="H126" s="459">
        <f t="shared" si="47"/>
        <v>2999996.4896127479</v>
      </c>
      <c r="I126" s="446">
        <f t="shared" si="48"/>
        <v>2999996.4896127479</v>
      </c>
      <c r="J126" s="53">
        <f t="shared" si="26"/>
        <v>0</v>
      </c>
      <c r="K126" s="53"/>
      <c r="L126" s="112"/>
      <c r="M126" s="53">
        <f t="shared" si="27"/>
        <v>0</v>
      </c>
      <c r="N126" s="112"/>
      <c r="O126" s="53">
        <f t="shared" si="28"/>
        <v>0</v>
      </c>
      <c r="P126" s="53">
        <f t="shared" si="29"/>
        <v>0</v>
      </c>
      <c r="Q126" s="1"/>
      <c r="R126" s="1"/>
      <c r="S126" s="1"/>
      <c r="T126" s="1"/>
      <c r="U126" s="1"/>
    </row>
    <row r="127" spans="3:21">
      <c r="C127" s="49">
        <f>IF(D94="","-",+C126+1)</f>
        <v>2043</v>
      </c>
      <c r="D127" s="11">
        <f>IF(F126+SUM(E$100:E126)=D$93,F126,D$93-SUM(E$100:E126))</f>
        <v>6645040.3600238711</v>
      </c>
      <c r="E127" s="377">
        <f>IF(+J97&lt;F126,J97,D127)</f>
        <v>2132733.3984375</v>
      </c>
      <c r="F127" s="54">
        <f t="shared" si="45"/>
        <v>4512306.9615863711</v>
      </c>
      <c r="G127" s="54">
        <f t="shared" si="46"/>
        <v>5578673.6608051211</v>
      </c>
      <c r="H127" s="459">
        <f t="shared" si="47"/>
        <v>2760138.711963119</v>
      </c>
      <c r="I127" s="446">
        <f t="shared" si="48"/>
        <v>2760138.711963119</v>
      </c>
      <c r="J127" s="53">
        <f t="shared" si="26"/>
        <v>0</v>
      </c>
      <c r="K127" s="53"/>
      <c r="L127" s="112"/>
      <c r="M127" s="53">
        <f t="shared" si="27"/>
        <v>0</v>
      </c>
      <c r="N127" s="112"/>
      <c r="O127" s="53">
        <f t="shared" si="28"/>
        <v>0</v>
      </c>
      <c r="P127" s="53">
        <f t="shared" si="29"/>
        <v>0</v>
      </c>
      <c r="Q127" s="1"/>
      <c r="R127" s="1"/>
      <c r="S127" s="1"/>
      <c r="T127" s="1"/>
      <c r="U127" s="1"/>
    </row>
    <row r="128" spans="3:21">
      <c r="C128" s="49">
        <f>IF(D94="","-",+C127+1)</f>
        <v>2044</v>
      </c>
      <c r="D128" s="11">
        <f>IF(F127+SUM(E$100:E127)=D$93,F127,D$93-SUM(E$100:E127))</f>
        <v>4512306.9615863711</v>
      </c>
      <c r="E128" s="377">
        <f>IF(+J97&lt;F127,J97,D128)</f>
        <v>2132733.3984375</v>
      </c>
      <c r="F128" s="54">
        <f t="shared" si="45"/>
        <v>2379573.5631488711</v>
      </c>
      <c r="G128" s="54">
        <f t="shared" si="46"/>
        <v>3445940.2623676211</v>
      </c>
      <c r="H128" s="459">
        <f t="shared" si="47"/>
        <v>2520280.9343134896</v>
      </c>
      <c r="I128" s="446">
        <f t="shared" si="48"/>
        <v>2520280.9343134896</v>
      </c>
      <c r="J128" s="53">
        <f t="shared" si="26"/>
        <v>0</v>
      </c>
      <c r="K128" s="53"/>
      <c r="L128" s="112"/>
      <c r="M128" s="53">
        <f t="shared" si="27"/>
        <v>0</v>
      </c>
      <c r="N128" s="112"/>
      <c r="O128" s="53">
        <f t="shared" si="28"/>
        <v>0</v>
      </c>
      <c r="P128" s="53">
        <f t="shared" si="29"/>
        <v>0</v>
      </c>
      <c r="Q128" s="1"/>
      <c r="R128" s="1"/>
      <c r="S128" s="1"/>
      <c r="T128" s="1"/>
      <c r="U128" s="1"/>
    </row>
    <row r="129" spans="3:21">
      <c r="C129" s="49">
        <f>IF(D94="","-",+C128+1)</f>
        <v>2045</v>
      </c>
      <c r="D129" s="11">
        <f>IF(F128+SUM(E$100:E128)=D$93,F128,D$93-SUM(E$100:E128))</f>
        <v>2379573.5631488711</v>
      </c>
      <c r="E129" s="377">
        <f>IF(+J97&lt;F128,J97,D129)</f>
        <v>2132733.3984375</v>
      </c>
      <c r="F129" s="54">
        <f t="shared" si="45"/>
        <v>246840.16471137106</v>
      </c>
      <c r="G129" s="54">
        <f t="shared" si="46"/>
        <v>1313206.8639301211</v>
      </c>
      <c r="H129" s="459">
        <f t="shared" si="47"/>
        <v>2280423.1566638602</v>
      </c>
      <c r="I129" s="446">
        <f t="shared" si="48"/>
        <v>2280423.1566638602</v>
      </c>
      <c r="J129" s="53">
        <f t="shared" si="26"/>
        <v>0</v>
      </c>
      <c r="K129" s="53"/>
      <c r="L129" s="112"/>
      <c r="M129" s="53">
        <f t="shared" si="27"/>
        <v>0</v>
      </c>
      <c r="N129" s="112"/>
      <c r="O129" s="53">
        <f t="shared" si="28"/>
        <v>0</v>
      </c>
      <c r="P129" s="53">
        <f t="shared" si="29"/>
        <v>0</v>
      </c>
      <c r="Q129" s="1"/>
      <c r="R129" s="1"/>
      <c r="S129" s="1"/>
      <c r="T129" s="1"/>
      <c r="U129" s="1"/>
    </row>
    <row r="130" spans="3:21">
      <c r="C130" s="49">
        <f>IF(D94="","-",+C129+1)</f>
        <v>2046</v>
      </c>
      <c r="D130" s="11">
        <f>IF(F129+SUM(E$100:E129)=D$93,F129,D$93-SUM(E$100:E129))</f>
        <v>246840.16471137106</v>
      </c>
      <c r="E130" s="377">
        <f>IF(+J97&lt;F129,J97,D130)</f>
        <v>246840.16471137106</v>
      </c>
      <c r="F130" s="54">
        <f t="shared" si="45"/>
        <v>0</v>
      </c>
      <c r="G130" s="54">
        <f t="shared" si="46"/>
        <v>123420.08235568553</v>
      </c>
      <c r="H130" s="459">
        <f t="shared" si="47"/>
        <v>260720.59941214384</v>
      </c>
      <c r="I130" s="446">
        <f t="shared" si="48"/>
        <v>260720.59941214384</v>
      </c>
      <c r="J130" s="53">
        <f t="shared" si="26"/>
        <v>0</v>
      </c>
      <c r="K130" s="53"/>
      <c r="L130" s="112"/>
      <c r="M130" s="53">
        <f t="shared" si="27"/>
        <v>0</v>
      </c>
      <c r="N130" s="112"/>
      <c r="O130" s="53">
        <f t="shared" si="28"/>
        <v>0</v>
      </c>
      <c r="P130" s="53">
        <f t="shared" si="29"/>
        <v>0</v>
      </c>
      <c r="Q130" s="1"/>
      <c r="R130" s="1"/>
      <c r="S130" s="1"/>
      <c r="T130" s="1"/>
      <c r="U130" s="1"/>
    </row>
    <row r="131" spans="3:21">
      <c r="C131" s="49">
        <f>IF(D94="","-",+C130+1)</f>
        <v>2047</v>
      </c>
      <c r="D131" s="11">
        <f>IF(F130+SUM(E$100:E130)=D$93,F130,D$93-SUM(E$100:E130))</f>
        <v>0</v>
      </c>
      <c r="E131" s="377">
        <f>IF(+J97&lt;F130,J97,D131)</f>
        <v>0</v>
      </c>
      <c r="F131" s="54">
        <f t="shared" si="45"/>
        <v>0</v>
      </c>
      <c r="G131" s="54">
        <f t="shared" si="46"/>
        <v>0</v>
      </c>
      <c r="H131" s="459">
        <f t="shared" si="47"/>
        <v>0</v>
      </c>
      <c r="I131" s="446">
        <f t="shared" si="48"/>
        <v>0</v>
      </c>
      <c r="J131" s="53">
        <f t="shared" si="26"/>
        <v>0</v>
      </c>
      <c r="K131" s="53"/>
      <c r="L131" s="112"/>
      <c r="M131" s="53">
        <f t="shared" si="27"/>
        <v>0</v>
      </c>
      <c r="N131" s="112"/>
      <c r="O131" s="53">
        <f t="shared" si="28"/>
        <v>0</v>
      </c>
      <c r="P131" s="53">
        <f t="shared" si="29"/>
        <v>0</v>
      </c>
      <c r="Q131" s="1"/>
      <c r="R131" s="1"/>
      <c r="S131" s="1"/>
      <c r="T131" s="1"/>
      <c r="U131" s="1"/>
    </row>
    <row r="132" spans="3:21">
      <c r="C132" s="49">
        <f>IF(D94="","-",+C131+1)</f>
        <v>2048</v>
      </c>
      <c r="D132" s="11">
        <f>IF(F131+SUM(E$100:E131)=D$93,F131,D$93-SUM(E$100:E131))</f>
        <v>0</v>
      </c>
      <c r="E132" s="377">
        <f>IF(+J97&lt;F131,J97,D132)</f>
        <v>0</v>
      </c>
      <c r="F132" s="54">
        <f t="shared" ref="F132:F155" si="49">+D132-E132</f>
        <v>0</v>
      </c>
      <c r="G132" s="54">
        <f t="shared" ref="G132:G155" si="50">+(F132+D132)/2</f>
        <v>0</v>
      </c>
      <c r="H132" s="459">
        <f t="shared" si="47"/>
        <v>0</v>
      </c>
      <c r="I132" s="446">
        <f t="shared" si="48"/>
        <v>0</v>
      </c>
      <c r="J132" s="53">
        <f t="shared" ref="J132:J155" si="51">+I542-H542</f>
        <v>0</v>
      </c>
      <c r="K132" s="53"/>
      <c r="L132" s="112"/>
      <c r="M132" s="53">
        <f t="shared" ref="M132:M155" si="52">IF(L542&lt;&gt;0,+H542-L542,0)</f>
        <v>0</v>
      </c>
      <c r="N132" s="112"/>
      <c r="O132" s="53">
        <f t="shared" ref="O132:O155" si="53">IF(N542&lt;&gt;0,+I542-N542,0)</f>
        <v>0</v>
      </c>
      <c r="P132" s="53">
        <f t="shared" ref="P132:P155" si="54">+O542-M542</f>
        <v>0</v>
      </c>
      <c r="Q132" s="1"/>
      <c r="R132" s="1"/>
      <c r="S132" s="1"/>
      <c r="T132" s="1"/>
      <c r="U132" s="1"/>
    </row>
    <row r="133" spans="3:21">
      <c r="C133" s="49">
        <f>IF(D94="","-",+C132+1)</f>
        <v>2049</v>
      </c>
      <c r="D133" s="11">
        <f>IF(F132+SUM(E$100:E132)=D$93,F132,D$93-SUM(E$100:E132))</f>
        <v>0</v>
      </c>
      <c r="E133" s="377">
        <f>IF(+J97&lt;F132,J97,D133)</f>
        <v>0</v>
      </c>
      <c r="F133" s="54">
        <f t="shared" si="49"/>
        <v>0</v>
      </c>
      <c r="G133" s="54">
        <f t="shared" si="50"/>
        <v>0</v>
      </c>
      <c r="H133" s="459">
        <f t="shared" si="47"/>
        <v>0</v>
      </c>
      <c r="I133" s="446">
        <f t="shared" si="48"/>
        <v>0</v>
      </c>
      <c r="J133" s="53">
        <f t="shared" si="51"/>
        <v>0</v>
      </c>
      <c r="K133" s="53"/>
      <c r="L133" s="112"/>
      <c r="M133" s="53">
        <f t="shared" si="52"/>
        <v>0</v>
      </c>
      <c r="N133" s="112"/>
      <c r="O133" s="53">
        <f t="shared" si="53"/>
        <v>0</v>
      </c>
      <c r="P133" s="53">
        <f t="shared" si="54"/>
        <v>0</v>
      </c>
      <c r="Q133" s="1"/>
      <c r="R133" s="1"/>
      <c r="S133" s="1"/>
      <c r="T133" s="1"/>
      <c r="U133" s="1"/>
    </row>
    <row r="134" spans="3:21">
      <c r="C134" s="49">
        <f>IF(D94="","-",+C133+1)</f>
        <v>2050</v>
      </c>
      <c r="D134" s="11">
        <f>IF(F133+SUM(E$100:E133)=D$93,F133,D$93-SUM(E$100:E133))</f>
        <v>0</v>
      </c>
      <c r="E134" s="377">
        <f>IF(+J97&lt;F133,J97,D134)</f>
        <v>0</v>
      </c>
      <c r="F134" s="54">
        <f t="shared" si="49"/>
        <v>0</v>
      </c>
      <c r="G134" s="54">
        <f t="shared" si="50"/>
        <v>0</v>
      </c>
      <c r="H134" s="459">
        <f t="shared" si="47"/>
        <v>0</v>
      </c>
      <c r="I134" s="446">
        <f t="shared" si="48"/>
        <v>0</v>
      </c>
      <c r="J134" s="53">
        <f t="shared" si="51"/>
        <v>0</v>
      </c>
      <c r="K134" s="53"/>
      <c r="L134" s="112"/>
      <c r="M134" s="53">
        <f t="shared" si="52"/>
        <v>0</v>
      </c>
      <c r="N134" s="112"/>
      <c r="O134" s="53">
        <f t="shared" si="53"/>
        <v>0</v>
      </c>
      <c r="P134" s="53">
        <f t="shared" si="54"/>
        <v>0</v>
      </c>
      <c r="Q134" s="1"/>
      <c r="R134" s="1"/>
      <c r="S134" s="1"/>
      <c r="T134" s="1"/>
      <c r="U134" s="1"/>
    </row>
    <row r="135" spans="3:21">
      <c r="C135" s="49">
        <f>IF(D94="","-",+C134+1)</f>
        <v>2051</v>
      </c>
      <c r="D135" s="11">
        <f>IF(F134+SUM(E$100:E134)=D$93,F134,D$93-SUM(E$100:E134))</f>
        <v>0</v>
      </c>
      <c r="E135" s="377">
        <f>IF(+J97&lt;F134,J97,D135)</f>
        <v>0</v>
      </c>
      <c r="F135" s="54">
        <f t="shared" si="49"/>
        <v>0</v>
      </c>
      <c r="G135" s="54">
        <f t="shared" si="50"/>
        <v>0</v>
      </c>
      <c r="H135" s="459">
        <f t="shared" si="47"/>
        <v>0</v>
      </c>
      <c r="I135" s="446">
        <f t="shared" si="48"/>
        <v>0</v>
      </c>
      <c r="J135" s="53">
        <f t="shared" si="51"/>
        <v>0</v>
      </c>
      <c r="K135" s="53"/>
      <c r="L135" s="112"/>
      <c r="M135" s="53">
        <f t="shared" si="52"/>
        <v>0</v>
      </c>
      <c r="N135" s="112"/>
      <c r="O135" s="53">
        <f t="shared" si="53"/>
        <v>0</v>
      </c>
      <c r="P135" s="53">
        <f t="shared" si="54"/>
        <v>0</v>
      </c>
      <c r="Q135" s="1"/>
      <c r="R135" s="1"/>
      <c r="S135" s="1"/>
      <c r="T135" s="1"/>
      <c r="U135" s="1"/>
    </row>
    <row r="136" spans="3:21">
      <c r="C136" s="49">
        <f>IF(D94="","-",+C135+1)</f>
        <v>2052</v>
      </c>
      <c r="D136" s="11">
        <f>IF(F135+SUM(E$100:E135)=D$93,F135,D$93-SUM(E$100:E135))</f>
        <v>0</v>
      </c>
      <c r="E136" s="377">
        <f>IF(+J97&lt;F135,J97,D136)</f>
        <v>0</v>
      </c>
      <c r="F136" s="54">
        <f t="shared" si="49"/>
        <v>0</v>
      </c>
      <c r="G136" s="54">
        <f t="shared" si="50"/>
        <v>0</v>
      </c>
      <c r="H136" s="459">
        <f t="shared" si="47"/>
        <v>0</v>
      </c>
      <c r="I136" s="446">
        <f t="shared" si="48"/>
        <v>0</v>
      </c>
      <c r="J136" s="53">
        <f t="shared" si="51"/>
        <v>0</v>
      </c>
      <c r="K136" s="53"/>
      <c r="L136" s="112"/>
      <c r="M136" s="53">
        <f t="shared" si="52"/>
        <v>0</v>
      </c>
      <c r="N136" s="112"/>
      <c r="O136" s="53">
        <f t="shared" si="53"/>
        <v>0</v>
      </c>
      <c r="P136" s="53">
        <f t="shared" si="54"/>
        <v>0</v>
      </c>
      <c r="Q136" s="1"/>
      <c r="R136" s="1"/>
      <c r="S136" s="1"/>
      <c r="T136" s="1"/>
      <c r="U136" s="1"/>
    </row>
    <row r="137" spans="3:21">
      <c r="C137" s="49">
        <f>IF(D94="","-",+C136+1)</f>
        <v>2053</v>
      </c>
      <c r="D137" s="11">
        <f>IF(F136+SUM(E$100:E136)=D$93,F136,D$93-SUM(E$100:E136))</f>
        <v>0</v>
      </c>
      <c r="E137" s="377">
        <f>IF(+J97&lt;F136,J97,D137)</f>
        <v>0</v>
      </c>
      <c r="F137" s="54">
        <f t="shared" si="49"/>
        <v>0</v>
      </c>
      <c r="G137" s="54">
        <f t="shared" si="50"/>
        <v>0</v>
      </c>
      <c r="H137" s="459">
        <f t="shared" si="47"/>
        <v>0</v>
      </c>
      <c r="I137" s="446">
        <f t="shared" si="48"/>
        <v>0</v>
      </c>
      <c r="J137" s="53">
        <f t="shared" si="51"/>
        <v>0</v>
      </c>
      <c r="K137" s="53"/>
      <c r="L137" s="112"/>
      <c r="M137" s="53">
        <f t="shared" si="52"/>
        <v>0</v>
      </c>
      <c r="N137" s="112"/>
      <c r="O137" s="53">
        <f t="shared" si="53"/>
        <v>0</v>
      </c>
      <c r="P137" s="53">
        <f t="shared" si="54"/>
        <v>0</v>
      </c>
      <c r="Q137" s="1"/>
      <c r="R137" s="1"/>
      <c r="S137" s="1"/>
      <c r="T137" s="1"/>
      <c r="U137" s="1"/>
    </row>
    <row r="138" spans="3:21">
      <c r="C138" s="49">
        <f>IF(D94="","-",+C137+1)</f>
        <v>2054</v>
      </c>
      <c r="D138" s="11">
        <f>IF(F137+SUM(E$100:E137)=D$93,F137,D$93-SUM(E$100:E137))</f>
        <v>0</v>
      </c>
      <c r="E138" s="377">
        <f>IF(+J97&lt;F137,J97,D138)</f>
        <v>0</v>
      </c>
      <c r="F138" s="54">
        <f t="shared" si="49"/>
        <v>0</v>
      </c>
      <c r="G138" s="54">
        <f t="shared" si="50"/>
        <v>0</v>
      </c>
      <c r="H138" s="459">
        <f t="shared" si="47"/>
        <v>0</v>
      </c>
      <c r="I138" s="446">
        <f t="shared" si="48"/>
        <v>0</v>
      </c>
      <c r="J138" s="53">
        <f t="shared" si="51"/>
        <v>0</v>
      </c>
      <c r="K138" s="53"/>
      <c r="L138" s="112"/>
      <c r="M138" s="53">
        <f t="shared" si="52"/>
        <v>0</v>
      </c>
      <c r="N138" s="112"/>
      <c r="O138" s="53">
        <f t="shared" si="53"/>
        <v>0</v>
      </c>
      <c r="P138" s="53">
        <f t="shared" si="54"/>
        <v>0</v>
      </c>
      <c r="Q138" s="1"/>
      <c r="R138" s="1"/>
      <c r="S138" s="1"/>
      <c r="T138" s="1"/>
      <c r="U138" s="1"/>
    </row>
    <row r="139" spans="3:21">
      <c r="C139" s="49">
        <f>IF(D94="","-",+C138+1)</f>
        <v>2055</v>
      </c>
      <c r="D139" s="11">
        <f>IF(F138+SUM(E$100:E138)=D$93,F138,D$93-SUM(E$100:E138))</f>
        <v>0</v>
      </c>
      <c r="E139" s="377">
        <f>IF(+J97&lt;F138,J97,D139)</f>
        <v>0</v>
      </c>
      <c r="F139" s="54">
        <f t="shared" si="49"/>
        <v>0</v>
      </c>
      <c r="G139" s="54">
        <f t="shared" si="50"/>
        <v>0</v>
      </c>
      <c r="H139" s="459">
        <f t="shared" si="47"/>
        <v>0</v>
      </c>
      <c r="I139" s="446">
        <f t="shared" si="48"/>
        <v>0</v>
      </c>
      <c r="J139" s="53">
        <f t="shared" si="51"/>
        <v>0</v>
      </c>
      <c r="K139" s="53"/>
      <c r="L139" s="112"/>
      <c r="M139" s="53">
        <f t="shared" si="52"/>
        <v>0</v>
      </c>
      <c r="N139" s="112"/>
      <c r="O139" s="53">
        <f t="shared" si="53"/>
        <v>0</v>
      </c>
      <c r="P139" s="53">
        <f t="shared" si="54"/>
        <v>0</v>
      </c>
      <c r="Q139" s="1"/>
      <c r="R139" s="1"/>
      <c r="S139" s="1"/>
      <c r="T139" s="1"/>
      <c r="U139" s="1"/>
    </row>
    <row r="140" spans="3:21">
      <c r="C140" s="49">
        <f>IF(D94="","-",+C139+1)</f>
        <v>2056</v>
      </c>
      <c r="D140" s="11">
        <f>IF(F139+SUM(E$100:E139)=D$93,F139,D$93-SUM(E$100:E139))</f>
        <v>0</v>
      </c>
      <c r="E140" s="377">
        <f>IF(+J97&lt;F139,J97,D140)</f>
        <v>0</v>
      </c>
      <c r="F140" s="54">
        <f t="shared" si="49"/>
        <v>0</v>
      </c>
      <c r="G140" s="54">
        <f t="shared" si="50"/>
        <v>0</v>
      </c>
      <c r="H140" s="459">
        <f t="shared" si="47"/>
        <v>0</v>
      </c>
      <c r="I140" s="446">
        <f t="shared" si="48"/>
        <v>0</v>
      </c>
      <c r="J140" s="53">
        <f t="shared" si="51"/>
        <v>0</v>
      </c>
      <c r="K140" s="53"/>
      <c r="L140" s="112"/>
      <c r="M140" s="53">
        <f t="shared" si="52"/>
        <v>0</v>
      </c>
      <c r="N140" s="112"/>
      <c r="O140" s="53">
        <f t="shared" si="53"/>
        <v>0</v>
      </c>
      <c r="P140" s="53">
        <f t="shared" si="54"/>
        <v>0</v>
      </c>
      <c r="Q140" s="1"/>
      <c r="R140" s="1"/>
      <c r="S140" s="1"/>
      <c r="T140" s="1"/>
      <c r="U140" s="1"/>
    </row>
    <row r="141" spans="3:21">
      <c r="C141" s="49">
        <f>IF(D94="","-",+C140+1)</f>
        <v>2057</v>
      </c>
      <c r="D141" s="11">
        <f>IF(F140+SUM(E$100:E140)=D$93,F140,D$93-SUM(E$100:E140))</f>
        <v>0</v>
      </c>
      <c r="E141" s="377">
        <f>IF(+J97&lt;F140,J97,D141)</f>
        <v>0</v>
      </c>
      <c r="F141" s="54">
        <f t="shared" si="49"/>
        <v>0</v>
      </c>
      <c r="G141" s="54">
        <f t="shared" si="50"/>
        <v>0</v>
      </c>
      <c r="H141" s="459">
        <f t="shared" si="47"/>
        <v>0</v>
      </c>
      <c r="I141" s="446">
        <f t="shared" si="48"/>
        <v>0</v>
      </c>
      <c r="J141" s="53">
        <f t="shared" si="51"/>
        <v>0</v>
      </c>
      <c r="K141" s="53"/>
      <c r="L141" s="112"/>
      <c r="M141" s="53">
        <f t="shared" si="52"/>
        <v>0</v>
      </c>
      <c r="N141" s="112"/>
      <c r="O141" s="53">
        <f t="shared" si="53"/>
        <v>0</v>
      </c>
      <c r="P141" s="53">
        <f t="shared" si="54"/>
        <v>0</v>
      </c>
      <c r="Q141" s="1"/>
      <c r="R141" s="1"/>
      <c r="S141" s="1"/>
      <c r="T141" s="1"/>
      <c r="U141" s="1"/>
    </row>
    <row r="142" spans="3:21">
      <c r="C142" s="49">
        <f>IF(D94="","-",+C141+1)</f>
        <v>2058</v>
      </c>
      <c r="D142" s="11">
        <f>IF(F141+SUM(E$100:E141)=D$93,F141,D$93-SUM(E$100:E141))</f>
        <v>0</v>
      </c>
      <c r="E142" s="377">
        <f>IF(+J97&lt;F141,J97,D142)</f>
        <v>0</v>
      </c>
      <c r="F142" s="54">
        <f t="shared" si="49"/>
        <v>0</v>
      </c>
      <c r="G142" s="54">
        <f t="shared" si="50"/>
        <v>0</v>
      </c>
      <c r="H142" s="459">
        <f t="shared" si="47"/>
        <v>0</v>
      </c>
      <c r="I142" s="446">
        <f t="shared" si="48"/>
        <v>0</v>
      </c>
      <c r="J142" s="53">
        <f t="shared" si="51"/>
        <v>0</v>
      </c>
      <c r="K142" s="53"/>
      <c r="L142" s="112"/>
      <c r="M142" s="53">
        <f t="shared" si="52"/>
        <v>0</v>
      </c>
      <c r="N142" s="112"/>
      <c r="O142" s="53">
        <f t="shared" si="53"/>
        <v>0</v>
      </c>
      <c r="P142" s="53">
        <f t="shared" si="54"/>
        <v>0</v>
      </c>
      <c r="Q142" s="1"/>
      <c r="R142" s="1"/>
      <c r="S142" s="1"/>
      <c r="T142" s="1"/>
      <c r="U142" s="1"/>
    </row>
    <row r="143" spans="3:21">
      <c r="C143" s="49">
        <f>IF(D94="","-",+C142+1)</f>
        <v>2059</v>
      </c>
      <c r="D143" s="11">
        <f>IF(F142+SUM(E$100:E142)=D$93,F142,D$93-SUM(E$100:E142))</f>
        <v>0</v>
      </c>
      <c r="E143" s="377">
        <f>IF(+J97&lt;F142,J97,D143)</f>
        <v>0</v>
      </c>
      <c r="F143" s="54">
        <f t="shared" si="49"/>
        <v>0</v>
      </c>
      <c r="G143" s="54">
        <f t="shared" si="50"/>
        <v>0</v>
      </c>
      <c r="H143" s="459">
        <f t="shared" si="47"/>
        <v>0</v>
      </c>
      <c r="I143" s="446">
        <f t="shared" si="48"/>
        <v>0</v>
      </c>
      <c r="J143" s="53">
        <f t="shared" si="51"/>
        <v>0</v>
      </c>
      <c r="K143" s="53"/>
      <c r="L143" s="112"/>
      <c r="M143" s="53">
        <f t="shared" si="52"/>
        <v>0</v>
      </c>
      <c r="N143" s="112"/>
      <c r="O143" s="53">
        <f t="shared" si="53"/>
        <v>0</v>
      </c>
      <c r="P143" s="53">
        <f t="shared" si="54"/>
        <v>0</v>
      </c>
      <c r="Q143" s="1"/>
      <c r="R143" s="1"/>
      <c r="S143" s="1"/>
      <c r="T143" s="1"/>
      <c r="U143" s="1"/>
    </row>
    <row r="144" spans="3:21">
      <c r="C144" s="49">
        <f>IF(D94="","-",+C143+1)</f>
        <v>2060</v>
      </c>
      <c r="D144" s="11">
        <f>IF(F143+SUM(E$100:E143)=D$93,F143,D$93-SUM(E$100:E143))</f>
        <v>0</v>
      </c>
      <c r="E144" s="377">
        <f>IF(+J97&lt;F143,J97,D144)</f>
        <v>0</v>
      </c>
      <c r="F144" s="54">
        <f t="shared" si="49"/>
        <v>0</v>
      </c>
      <c r="G144" s="54">
        <f t="shared" si="50"/>
        <v>0</v>
      </c>
      <c r="H144" s="459">
        <f t="shared" si="47"/>
        <v>0</v>
      </c>
      <c r="I144" s="446">
        <f t="shared" si="48"/>
        <v>0</v>
      </c>
      <c r="J144" s="53">
        <f t="shared" si="51"/>
        <v>0</v>
      </c>
      <c r="K144" s="53"/>
      <c r="L144" s="112"/>
      <c r="M144" s="53">
        <f t="shared" si="52"/>
        <v>0</v>
      </c>
      <c r="N144" s="112"/>
      <c r="O144" s="53">
        <f t="shared" si="53"/>
        <v>0</v>
      </c>
      <c r="P144" s="53">
        <f t="shared" si="54"/>
        <v>0</v>
      </c>
      <c r="Q144" s="1"/>
      <c r="R144" s="1"/>
      <c r="S144" s="1"/>
      <c r="T144" s="1"/>
      <c r="U144" s="1"/>
    </row>
    <row r="145" spans="3:21">
      <c r="C145" s="49">
        <f>IF(D94="","-",+C144+1)</f>
        <v>2061</v>
      </c>
      <c r="D145" s="11">
        <f>IF(F144+SUM(E$100:E144)=D$93,F144,D$93-SUM(E$100:E144))</f>
        <v>0</v>
      </c>
      <c r="E145" s="377">
        <f>IF(+J97&lt;F144,J97,D145)</f>
        <v>0</v>
      </c>
      <c r="F145" s="54">
        <f t="shared" si="49"/>
        <v>0</v>
      </c>
      <c r="G145" s="54">
        <f t="shared" si="50"/>
        <v>0</v>
      </c>
      <c r="H145" s="459">
        <f t="shared" si="47"/>
        <v>0</v>
      </c>
      <c r="I145" s="446">
        <f t="shared" si="48"/>
        <v>0</v>
      </c>
      <c r="J145" s="53">
        <f t="shared" si="51"/>
        <v>0</v>
      </c>
      <c r="K145" s="53"/>
      <c r="L145" s="112"/>
      <c r="M145" s="53">
        <f t="shared" si="52"/>
        <v>0</v>
      </c>
      <c r="N145" s="112"/>
      <c r="O145" s="53">
        <f t="shared" si="53"/>
        <v>0</v>
      </c>
      <c r="P145" s="53">
        <f t="shared" si="54"/>
        <v>0</v>
      </c>
      <c r="Q145" s="1"/>
      <c r="R145" s="1"/>
      <c r="S145" s="1"/>
      <c r="T145" s="1"/>
      <c r="U145" s="1"/>
    </row>
    <row r="146" spans="3:21">
      <c r="C146" s="49">
        <f>IF(D94="","-",+C145+1)</f>
        <v>2062</v>
      </c>
      <c r="D146" s="11">
        <f>IF(F145+SUM(E$100:E145)=D$93,F145,D$93-SUM(E$100:E145))</f>
        <v>0</v>
      </c>
      <c r="E146" s="377">
        <f>IF(+J97&lt;F145,J97,D146)</f>
        <v>0</v>
      </c>
      <c r="F146" s="54">
        <f t="shared" si="49"/>
        <v>0</v>
      </c>
      <c r="G146" s="54">
        <f t="shared" si="50"/>
        <v>0</v>
      </c>
      <c r="H146" s="459">
        <f t="shared" si="47"/>
        <v>0</v>
      </c>
      <c r="I146" s="446">
        <f t="shared" si="48"/>
        <v>0</v>
      </c>
      <c r="J146" s="53">
        <f t="shared" si="51"/>
        <v>0</v>
      </c>
      <c r="K146" s="53"/>
      <c r="L146" s="112"/>
      <c r="M146" s="53">
        <f t="shared" si="52"/>
        <v>0</v>
      </c>
      <c r="N146" s="112"/>
      <c r="O146" s="53">
        <f t="shared" si="53"/>
        <v>0</v>
      </c>
      <c r="P146" s="53">
        <f t="shared" si="54"/>
        <v>0</v>
      </c>
      <c r="Q146" s="1"/>
      <c r="R146" s="1"/>
      <c r="S146" s="1"/>
      <c r="T146" s="1"/>
      <c r="U146" s="1"/>
    </row>
    <row r="147" spans="3:21">
      <c r="C147" s="49">
        <f>IF(D94="","-",+C146+1)</f>
        <v>2063</v>
      </c>
      <c r="D147" s="11">
        <f>IF(F146+SUM(E$100:E146)=D$93,F146,D$93-SUM(E$100:E146))</f>
        <v>0</v>
      </c>
      <c r="E147" s="377">
        <f>IF(+J97&lt;F146,J97,D147)</f>
        <v>0</v>
      </c>
      <c r="F147" s="54">
        <f t="shared" si="49"/>
        <v>0</v>
      </c>
      <c r="G147" s="54">
        <f t="shared" si="50"/>
        <v>0</v>
      </c>
      <c r="H147" s="459">
        <f t="shared" si="47"/>
        <v>0</v>
      </c>
      <c r="I147" s="446">
        <f t="shared" si="48"/>
        <v>0</v>
      </c>
      <c r="J147" s="53">
        <f t="shared" si="51"/>
        <v>0</v>
      </c>
      <c r="K147" s="53"/>
      <c r="L147" s="112"/>
      <c r="M147" s="53">
        <f t="shared" si="52"/>
        <v>0</v>
      </c>
      <c r="N147" s="112"/>
      <c r="O147" s="53">
        <f t="shared" si="53"/>
        <v>0</v>
      </c>
      <c r="P147" s="53">
        <f t="shared" si="54"/>
        <v>0</v>
      </c>
      <c r="Q147" s="1"/>
      <c r="R147" s="1"/>
      <c r="S147" s="1"/>
      <c r="T147" s="1"/>
      <c r="U147" s="1"/>
    </row>
    <row r="148" spans="3:21">
      <c r="C148" s="49">
        <f>IF(D94="","-",+C147+1)</f>
        <v>2064</v>
      </c>
      <c r="D148" s="11">
        <f>IF(F147+SUM(E$100:E147)=D$93,F147,D$93-SUM(E$100:E147))</f>
        <v>0</v>
      </c>
      <c r="E148" s="377">
        <f>IF(+J97&lt;F147,J97,D148)</f>
        <v>0</v>
      </c>
      <c r="F148" s="54">
        <f t="shared" si="49"/>
        <v>0</v>
      </c>
      <c r="G148" s="54">
        <f t="shared" si="50"/>
        <v>0</v>
      </c>
      <c r="H148" s="459">
        <f t="shared" si="47"/>
        <v>0</v>
      </c>
      <c r="I148" s="446">
        <f t="shared" si="48"/>
        <v>0</v>
      </c>
      <c r="J148" s="53">
        <f t="shared" si="51"/>
        <v>0</v>
      </c>
      <c r="K148" s="53"/>
      <c r="L148" s="112"/>
      <c r="M148" s="53">
        <f t="shared" si="52"/>
        <v>0</v>
      </c>
      <c r="N148" s="112"/>
      <c r="O148" s="53">
        <f t="shared" si="53"/>
        <v>0</v>
      </c>
      <c r="P148" s="53">
        <f t="shared" si="54"/>
        <v>0</v>
      </c>
      <c r="Q148" s="1"/>
      <c r="R148" s="1"/>
      <c r="S148" s="1"/>
      <c r="T148" s="1"/>
      <c r="U148" s="1"/>
    </row>
    <row r="149" spans="3:21">
      <c r="C149" s="49">
        <f>IF(D94="","-",+C148+1)</f>
        <v>2065</v>
      </c>
      <c r="D149" s="11">
        <f>IF(F148+SUM(E$100:E148)=D$93,F148,D$93-SUM(E$100:E148))</f>
        <v>0</v>
      </c>
      <c r="E149" s="377">
        <f>IF(+J97&lt;F148,J97,D149)</f>
        <v>0</v>
      </c>
      <c r="F149" s="54">
        <f t="shared" si="49"/>
        <v>0</v>
      </c>
      <c r="G149" s="54">
        <f t="shared" si="50"/>
        <v>0</v>
      </c>
      <c r="H149" s="459">
        <f t="shared" si="47"/>
        <v>0</v>
      </c>
      <c r="I149" s="446">
        <f t="shared" si="48"/>
        <v>0</v>
      </c>
      <c r="J149" s="53">
        <f t="shared" si="51"/>
        <v>0</v>
      </c>
      <c r="K149" s="53"/>
      <c r="L149" s="112"/>
      <c r="M149" s="53">
        <f t="shared" si="52"/>
        <v>0</v>
      </c>
      <c r="N149" s="112"/>
      <c r="O149" s="53">
        <f t="shared" si="53"/>
        <v>0</v>
      </c>
      <c r="P149" s="53">
        <f t="shared" si="54"/>
        <v>0</v>
      </c>
      <c r="Q149" s="1"/>
      <c r="R149" s="1"/>
      <c r="S149" s="1"/>
      <c r="T149" s="1"/>
      <c r="U149" s="1"/>
    </row>
    <row r="150" spans="3:21">
      <c r="C150" s="49">
        <f>IF(D94="","-",+C149+1)</f>
        <v>2066</v>
      </c>
      <c r="D150" s="11">
        <f>IF(F149+SUM(E$100:E149)=D$93,F149,D$93-SUM(E$100:E149))</f>
        <v>0</v>
      </c>
      <c r="E150" s="377">
        <f>IF(+J97&lt;F149,J97,D150)</f>
        <v>0</v>
      </c>
      <c r="F150" s="54">
        <f t="shared" si="49"/>
        <v>0</v>
      </c>
      <c r="G150" s="54">
        <f t="shared" si="50"/>
        <v>0</v>
      </c>
      <c r="H150" s="459">
        <f t="shared" si="47"/>
        <v>0</v>
      </c>
      <c r="I150" s="446">
        <f t="shared" si="48"/>
        <v>0</v>
      </c>
      <c r="J150" s="53">
        <f t="shared" si="51"/>
        <v>0</v>
      </c>
      <c r="K150" s="53"/>
      <c r="L150" s="112"/>
      <c r="M150" s="53">
        <f t="shared" si="52"/>
        <v>0</v>
      </c>
      <c r="N150" s="112"/>
      <c r="O150" s="53">
        <f t="shared" si="53"/>
        <v>0</v>
      </c>
      <c r="P150" s="53">
        <f t="shared" si="54"/>
        <v>0</v>
      </c>
      <c r="Q150" s="1"/>
      <c r="R150" s="1"/>
      <c r="S150" s="1"/>
      <c r="T150" s="1"/>
      <c r="U150" s="1"/>
    </row>
    <row r="151" spans="3:21">
      <c r="C151" s="49">
        <f>IF(D94="","-",+C150+1)</f>
        <v>2067</v>
      </c>
      <c r="D151" s="11">
        <f>IF(F150+SUM(E$100:E150)=D$93,F150,D$93-SUM(E$100:E150))</f>
        <v>0</v>
      </c>
      <c r="E151" s="377">
        <f>IF(+J97&lt;F150,J97,D151)</f>
        <v>0</v>
      </c>
      <c r="F151" s="54">
        <f t="shared" si="49"/>
        <v>0</v>
      </c>
      <c r="G151" s="54">
        <f t="shared" si="50"/>
        <v>0</v>
      </c>
      <c r="H151" s="459">
        <f t="shared" si="47"/>
        <v>0</v>
      </c>
      <c r="I151" s="446">
        <f t="shared" si="48"/>
        <v>0</v>
      </c>
      <c r="J151" s="53">
        <f t="shared" si="51"/>
        <v>0</v>
      </c>
      <c r="K151" s="53"/>
      <c r="L151" s="112"/>
      <c r="M151" s="53">
        <f t="shared" si="52"/>
        <v>0</v>
      </c>
      <c r="N151" s="112"/>
      <c r="O151" s="53">
        <f t="shared" si="53"/>
        <v>0</v>
      </c>
      <c r="P151" s="53">
        <f t="shared" si="54"/>
        <v>0</v>
      </c>
      <c r="Q151" s="1"/>
      <c r="R151" s="1"/>
      <c r="S151" s="1"/>
      <c r="T151" s="1"/>
      <c r="U151" s="1"/>
    </row>
    <row r="152" spans="3:21">
      <c r="C152" s="49">
        <f>IF(D94="","-",+C151+1)</f>
        <v>2068</v>
      </c>
      <c r="D152" s="11">
        <f>IF(F151+SUM(E$100:E151)=D$93,F151,D$93-SUM(E$100:E151))</f>
        <v>0</v>
      </c>
      <c r="E152" s="377">
        <f>IF(+J97&lt;F151,J97,D152)</f>
        <v>0</v>
      </c>
      <c r="F152" s="54">
        <f t="shared" si="49"/>
        <v>0</v>
      </c>
      <c r="G152" s="54">
        <f t="shared" si="50"/>
        <v>0</v>
      </c>
      <c r="H152" s="459">
        <f t="shared" si="47"/>
        <v>0</v>
      </c>
      <c r="I152" s="446">
        <f t="shared" si="48"/>
        <v>0</v>
      </c>
      <c r="J152" s="53">
        <f t="shared" si="51"/>
        <v>0</v>
      </c>
      <c r="K152" s="53"/>
      <c r="L152" s="112"/>
      <c r="M152" s="53">
        <f t="shared" si="52"/>
        <v>0</v>
      </c>
      <c r="N152" s="112"/>
      <c r="O152" s="53">
        <f t="shared" si="53"/>
        <v>0</v>
      </c>
      <c r="P152" s="53">
        <f t="shared" si="54"/>
        <v>0</v>
      </c>
      <c r="Q152" s="1"/>
      <c r="R152" s="1"/>
      <c r="S152" s="1"/>
      <c r="T152" s="1"/>
      <c r="U152" s="1"/>
    </row>
    <row r="153" spans="3:21">
      <c r="C153" s="49">
        <f>IF(D94="","-",+C152+1)</f>
        <v>2069</v>
      </c>
      <c r="D153" s="11">
        <f>IF(F152+SUM(E$100:E152)=D$93,F152,D$93-SUM(E$100:E152))</f>
        <v>0</v>
      </c>
      <c r="E153" s="377">
        <f>IF(+J97&lt;F152,J97,D153)</f>
        <v>0</v>
      </c>
      <c r="F153" s="54">
        <f t="shared" si="49"/>
        <v>0</v>
      </c>
      <c r="G153" s="54">
        <f t="shared" si="50"/>
        <v>0</v>
      </c>
      <c r="H153" s="459">
        <f t="shared" si="47"/>
        <v>0</v>
      </c>
      <c r="I153" s="446">
        <f t="shared" si="48"/>
        <v>0</v>
      </c>
      <c r="J153" s="53">
        <f t="shared" si="51"/>
        <v>0</v>
      </c>
      <c r="K153" s="53"/>
      <c r="L153" s="112"/>
      <c r="M153" s="53">
        <f t="shared" si="52"/>
        <v>0</v>
      </c>
      <c r="N153" s="112"/>
      <c r="O153" s="53">
        <f t="shared" si="53"/>
        <v>0</v>
      </c>
      <c r="P153" s="53">
        <f t="shared" si="54"/>
        <v>0</v>
      </c>
      <c r="Q153" s="1"/>
      <c r="R153" s="1"/>
      <c r="S153" s="1"/>
      <c r="T153" s="1"/>
      <c r="U153" s="1"/>
    </row>
    <row r="154" spans="3:21">
      <c r="C154" s="49">
        <f>IF(D94="","-",+C153+1)</f>
        <v>2070</v>
      </c>
      <c r="D154" s="11">
        <f>IF(F153+SUM(E$100:E153)=D$93,F153,D$93-SUM(E$100:E153))</f>
        <v>0</v>
      </c>
      <c r="E154" s="377">
        <f>IF(+J97&lt;F153,J97,D154)</f>
        <v>0</v>
      </c>
      <c r="F154" s="54">
        <f t="shared" si="49"/>
        <v>0</v>
      </c>
      <c r="G154" s="54">
        <f t="shared" si="50"/>
        <v>0</v>
      </c>
      <c r="H154" s="459">
        <f t="shared" si="47"/>
        <v>0</v>
      </c>
      <c r="I154" s="446">
        <f t="shared" si="48"/>
        <v>0</v>
      </c>
      <c r="J154" s="53">
        <f t="shared" si="51"/>
        <v>0</v>
      </c>
      <c r="K154" s="53"/>
      <c r="L154" s="112"/>
      <c r="M154" s="53">
        <f t="shared" si="52"/>
        <v>0</v>
      </c>
      <c r="N154" s="112"/>
      <c r="O154" s="53">
        <f t="shared" si="53"/>
        <v>0</v>
      </c>
      <c r="P154" s="53">
        <f t="shared" si="54"/>
        <v>0</v>
      </c>
      <c r="Q154" s="1"/>
      <c r="R154" s="1"/>
      <c r="S154" s="1"/>
      <c r="T154" s="1"/>
      <c r="U154" s="1"/>
    </row>
    <row r="155" spans="3:21" ht="13.5" thickBot="1">
      <c r="C155" s="58">
        <f>IF(D94="","-",+C154+1)</f>
        <v>2071</v>
      </c>
      <c r="D155" s="82">
        <f>IF(F154+SUM(E$100:E154)=D$93,F154,D$93-SUM(E$100:E154))</f>
        <v>0</v>
      </c>
      <c r="E155" s="389">
        <f>IF(+J97&lt;F154,J97,D155)</f>
        <v>0</v>
      </c>
      <c r="F155" s="59">
        <f t="shared" si="49"/>
        <v>0</v>
      </c>
      <c r="G155" s="59">
        <f t="shared" si="50"/>
        <v>0</v>
      </c>
      <c r="H155" s="459">
        <f t="shared" si="47"/>
        <v>0</v>
      </c>
      <c r="I155" s="443">
        <f t="shared" si="48"/>
        <v>0</v>
      </c>
      <c r="J155" s="63">
        <f t="shared" si="51"/>
        <v>0</v>
      </c>
      <c r="K155" s="53"/>
      <c r="L155" s="113"/>
      <c r="M155" s="63">
        <f t="shared" si="52"/>
        <v>0</v>
      </c>
      <c r="N155" s="113"/>
      <c r="O155" s="63">
        <f t="shared" si="53"/>
        <v>0</v>
      </c>
      <c r="P155" s="63">
        <f t="shared" si="54"/>
        <v>0</v>
      </c>
      <c r="Q155" s="1"/>
      <c r="R155" s="1"/>
      <c r="S155" s="1"/>
      <c r="T155" s="1"/>
      <c r="U155" s="1"/>
    </row>
    <row r="156" spans="3:21">
      <c r="C156" s="11" t="s">
        <v>75</v>
      </c>
      <c r="D156" s="242"/>
      <c r="E156" s="242">
        <f>SUM(E100:E155)</f>
        <v>68247468.75</v>
      </c>
      <c r="F156" s="242"/>
      <c r="G156" s="242"/>
      <c r="H156" s="242">
        <f>SUM(H100:H155)</f>
        <v>175027506.5871523</v>
      </c>
      <c r="I156" s="242">
        <f>SUM(I100:I155)</f>
        <v>175027506.5871523</v>
      </c>
      <c r="J156" s="242">
        <f>SUM(J100:J155)</f>
        <v>0</v>
      </c>
      <c r="K156" s="242"/>
      <c r="L156" s="242"/>
      <c r="M156" s="242"/>
      <c r="N156" s="242"/>
      <c r="O156" s="242"/>
      <c r="P156" s="1"/>
      <c r="Q156" s="1"/>
      <c r="R156" s="1"/>
      <c r="S156" s="1"/>
      <c r="T156" s="1"/>
      <c r="U156" s="1"/>
    </row>
    <row r="157" spans="3:21">
      <c r="C157" t="s">
        <v>90</v>
      </c>
      <c r="D157" s="2"/>
      <c r="E157" s="1"/>
      <c r="F157" s="1"/>
      <c r="G157" s="1"/>
      <c r="H157" s="1"/>
      <c r="I157" s="260"/>
      <c r="J157" s="260"/>
      <c r="K157" s="242"/>
      <c r="L157" s="260"/>
      <c r="M157" s="260"/>
      <c r="N157" s="260"/>
      <c r="O157" s="260"/>
      <c r="P157" s="1"/>
      <c r="Q157" s="1"/>
      <c r="R157" s="1"/>
      <c r="S157" s="1"/>
      <c r="T157" s="1"/>
      <c r="U157" s="1"/>
    </row>
    <row r="158" spans="3:21">
      <c r="C158" s="83"/>
      <c r="D158" s="2"/>
      <c r="E158" s="1"/>
      <c r="F158" s="1"/>
      <c r="G158" s="1"/>
      <c r="H158" s="1"/>
      <c r="I158" s="260"/>
      <c r="J158" s="260"/>
      <c r="K158" s="242"/>
      <c r="L158" s="260"/>
      <c r="M158" s="260"/>
      <c r="N158" s="260"/>
      <c r="O158" s="260"/>
      <c r="P158" s="1"/>
      <c r="Q158" s="1"/>
      <c r="R158" s="1"/>
      <c r="S158" s="1"/>
      <c r="T158" s="1"/>
      <c r="U158" s="1"/>
    </row>
    <row r="159" spans="3:21">
      <c r="C159" s="97" t="s">
        <v>130</v>
      </c>
      <c r="D159" s="2"/>
      <c r="E159" s="1"/>
      <c r="F159" s="1"/>
      <c r="G159" s="1"/>
      <c r="H159" s="1"/>
      <c r="I159" s="260"/>
      <c r="J159" s="260"/>
      <c r="K159" s="242"/>
      <c r="L159" s="260"/>
      <c r="M159" s="260"/>
      <c r="N159" s="260"/>
      <c r="O159" s="260"/>
      <c r="P159" s="1"/>
      <c r="Q159" s="1"/>
      <c r="R159" s="1"/>
      <c r="S159" s="1"/>
      <c r="T159" s="1"/>
      <c r="U159" s="1"/>
    </row>
    <row r="160" spans="3:21">
      <c r="C160" s="25" t="s">
        <v>76</v>
      </c>
      <c r="D160" s="11"/>
      <c r="E160" s="11"/>
      <c r="F160" s="11"/>
      <c r="G160" s="11"/>
      <c r="H160" s="242"/>
      <c r="I160" s="242"/>
      <c r="J160" s="64"/>
      <c r="K160" s="64"/>
      <c r="L160" s="64"/>
      <c r="M160" s="64"/>
      <c r="N160" s="64"/>
      <c r="O160" s="64"/>
      <c r="P160" s="1"/>
      <c r="Q160" s="1"/>
      <c r="R160" s="1"/>
      <c r="S160" s="1"/>
      <c r="T160" s="1"/>
      <c r="U160" s="1"/>
    </row>
    <row r="161" spans="3:21">
      <c r="C161" s="84" t="s">
        <v>77</v>
      </c>
      <c r="D161" s="11"/>
      <c r="E161" s="11"/>
      <c r="F161" s="11"/>
      <c r="G161" s="11"/>
      <c r="H161" s="242"/>
      <c r="I161" s="242"/>
      <c r="J161" s="64"/>
      <c r="K161" s="64"/>
      <c r="L161" s="64"/>
      <c r="M161" s="64"/>
      <c r="N161" s="64"/>
      <c r="O161" s="64"/>
      <c r="P161" s="1"/>
      <c r="Q161" s="1"/>
      <c r="R161" s="1"/>
      <c r="S161" s="1"/>
      <c r="T161" s="1"/>
      <c r="U161" s="1"/>
    </row>
    <row r="162" spans="3:21">
      <c r="C162" s="84"/>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27" priority="1" stopIfTrue="1" operator="equal">
      <formula>$I$10</formula>
    </cfRule>
  </conditionalFormatting>
  <conditionalFormatting sqref="C100:C155">
    <cfRule type="cellIs" dxfId="26" priority="2"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55"/>
  <dimension ref="A1:U163"/>
  <sheetViews>
    <sheetView topLeftCell="A10" zoomScaleNormal="100" zoomScaleSheetLayoutView="85" workbookViewId="0">
      <selection activeCell="D10" sqref="D10"/>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"&amp;RIGHT(MID(CELL("filename",$A$1),FIND("]",CELL("filename",$A$1))+1,256),2)&amp;" of "&amp;COUNT('OKT.001:OKT.xyz - blank'!$P$3)-1</f>
        <v>OKT Project 15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t="str">
        <f>"For Calendar Year "&amp;V1-1&amp;" and Projected Year "&amp;V1</f>
        <v xml:space="preserve">For Calendar Year -1 and Projected Year </v>
      </c>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1337254.3839560486</v>
      </c>
      <c r="P5" s="1"/>
      <c r="R5" s="1"/>
      <c r="S5" s="1"/>
      <c r="T5" s="1"/>
      <c r="U5" s="1"/>
    </row>
    <row r="6" spans="1:21" ht="15.75">
      <c r="C6" s="6"/>
      <c r="D6" s="2"/>
      <c r="E6" s="1"/>
      <c r="F6" s="1"/>
      <c r="G6" s="1"/>
      <c r="H6" s="351"/>
      <c r="I6" s="351"/>
      <c r="J6" s="352"/>
      <c r="K6" s="22" t="s">
        <v>243</v>
      </c>
      <c r="L6" s="353"/>
      <c r="M6" s="1"/>
      <c r="N6" s="354">
        <f>VLOOKUP(I10,C17:I73,6)</f>
        <v>1337254.3839560486</v>
      </c>
      <c r="O6" s="1"/>
      <c r="P6" s="1"/>
      <c r="R6" s="1"/>
      <c r="S6" s="1"/>
      <c r="T6" s="1"/>
      <c r="U6" s="1"/>
    </row>
    <row r="7" spans="1:21" ht="13.5" thickBot="1">
      <c r="C7" s="25" t="s">
        <v>46</v>
      </c>
      <c r="D7" s="96" t="s">
        <v>244</v>
      </c>
      <c r="E7" s="1"/>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318</v>
      </c>
      <c r="E9" s="31" t="s">
        <v>310</v>
      </c>
      <c r="F9" s="526">
        <v>30619</v>
      </c>
      <c r="G9" s="31"/>
      <c r="H9" s="31"/>
      <c r="I9" s="32"/>
      <c r="J9" s="33"/>
      <c r="P9" s="1"/>
      <c r="R9" s="1"/>
      <c r="S9" s="1"/>
      <c r="T9" s="1"/>
      <c r="U9" s="1"/>
    </row>
    <row r="10" spans="1:21">
      <c r="C10" s="34" t="s">
        <v>49</v>
      </c>
      <c r="D10" s="358">
        <v>11056565.360000001</v>
      </c>
      <c r="E10" s="1" t="s">
        <v>50</v>
      </c>
      <c r="G10" s="2"/>
      <c r="H10" s="2"/>
      <c r="I10" s="36">
        <f>+'OKT.WS.F.BPU.ATRR.Projected'!R100</f>
        <v>2025</v>
      </c>
      <c r="J10" s="33"/>
      <c r="K10" s="242" t="s">
        <v>51</v>
      </c>
      <c r="O10" s="1"/>
      <c r="P10" s="1"/>
      <c r="R10" s="1"/>
      <c r="S10" s="1"/>
      <c r="T10" s="1"/>
      <c r="U10" s="1"/>
    </row>
    <row r="11" spans="1:21">
      <c r="C11" s="34" t="s">
        <v>52</v>
      </c>
      <c r="D11" s="37">
        <v>2017</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6</v>
      </c>
      <c r="E12" s="34" t="s">
        <v>55</v>
      </c>
      <c r="F12" s="2"/>
      <c r="I12" s="40">
        <f>'OKT.WS.F.BPU.ATRR.Projected'!$F$78</f>
        <v>0.11444992740144029</v>
      </c>
      <c r="J12" s="11"/>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368552.17866666673</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73" si="0">IF(D17=F16,"","IU")</f>
        <v>IU</v>
      </c>
      <c r="C17" s="49">
        <f>IF(D11= "","-",D11)</f>
        <v>2017</v>
      </c>
      <c r="D17" s="433">
        <v>0</v>
      </c>
      <c r="E17" s="440">
        <v>104355.95770200831</v>
      </c>
      <c r="F17" s="433">
        <v>10510644.042297991</v>
      </c>
      <c r="G17" s="440">
        <v>682125.91542676068</v>
      </c>
      <c r="H17" s="438">
        <v>682125.91542676068</v>
      </c>
      <c r="I17" s="51">
        <f>H17-G17</f>
        <v>0</v>
      </c>
      <c r="J17" s="51"/>
      <c r="K17" s="376">
        <f t="shared" ref="K17:K22" si="1">+G17</f>
        <v>682125.91542676068</v>
      </c>
      <c r="L17" s="53">
        <f t="shared" ref="L17:L22" si="2">IF(K17&lt;&gt;0,+G17-K17,0)</f>
        <v>0</v>
      </c>
      <c r="M17" s="376">
        <f t="shared" ref="M17:M22" si="3">+H17</f>
        <v>682125.91542676068</v>
      </c>
      <c r="N17" s="413">
        <f t="shared" ref="N17:N73" si="4">IF(M17&lt;&gt;0,+H17-M17,0)</f>
        <v>0</v>
      </c>
      <c r="O17" s="53">
        <f t="shared" ref="O17:O73" si="5">+N17-L17</f>
        <v>0</v>
      </c>
      <c r="P17" s="1"/>
      <c r="R17" s="1"/>
      <c r="S17" s="1"/>
      <c r="T17" s="1"/>
      <c r="U17" s="1"/>
    </row>
    <row r="18" spans="2:21">
      <c r="B18" t="str">
        <f t="shared" si="0"/>
        <v/>
      </c>
      <c r="C18" s="49">
        <f>IF(D11="","-",+C17+1)</f>
        <v>2018</v>
      </c>
      <c r="D18" s="435">
        <v>10510644.042297991</v>
      </c>
      <c r="E18" s="434">
        <v>260328.43725382842</v>
      </c>
      <c r="F18" s="435">
        <v>10250315.605044162</v>
      </c>
      <c r="G18" s="434">
        <v>1315230.681782007</v>
      </c>
      <c r="H18" s="438">
        <v>1315230.681782007</v>
      </c>
      <c r="I18" s="51">
        <f>H18-G18</f>
        <v>0</v>
      </c>
      <c r="J18" s="51"/>
      <c r="K18" s="419">
        <f t="shared" si="1"/>
        <v>1315230.681782007</v>
      </c>
      <c r="L18" s="422">
        <f t="shared" si="2"/>
        <v>0</v>
      </c>
      <c r="M18" s="419">
        <f t="shared" si="3"/>
        <v>1315230.681782007</v>
      </c>
      <c r="N18" s="53">
        <f>IF(M18&lt;&gt;0,+H18-M18,0)</f>
        <v>0</v>
      </c>
      <c r="O18" s="53">
        <f>+N18-L18</f>
        <v>0</v>
      </c>
      <c r="P18" s="1"/>
      <c r="R18" s="1"/>
      <c r="S18" s="1"/>
      <c r="T18" s="1"/>
      <c r="U18" s="1"/>
    </row>
    <row r="19" spans="2:21">
      <c r="B19" t="str">
        <f t="shared" si="0"/>
        <v/>
      </c>
      <c r="C19" s="49">
        <f>IF(D11="","-",+C18+1)</f>
        <v>2019</v>
      </c>
      <c r="D19" s="435">
        <v>10250315.605044162</v>
      </c>
      <c r="E19" s="434">
        <v>314828.66007880151</v>
      </c>
      <c r="F19" s="435">
        <v>9935486.9449653607</v>
      </c>
      <c r="G19" s="434">
        <v>1363844.0888504181</v>
      </c>
      <c r="H19" s="438">
        <v>1363844.0888504181</v>
      </c>
      <c r="I19" s="51">
        <f>H19-G19</f>
        <v>0</v>
      </c>
      <c r="J19" s="51"/>
      <c r="K19" s="419">
        <f t="shared" si="1"/>
        <v>1363844.0888504181</v>
      </c>
      <c r="L19" s="422">
        <f t="shared" si="2"/>
        <v>0</v>
      </c>
      <c r="M19" s="419">
        <f t="shared" si="3"/>
        <v>1363844.0888504181</v>
      </c>
      <c r="N19" s="53">
        <f>IF(M19&lt;&gt;0,+H19-M19,0)</f>
        <v>0</v>
      </c>
      <c r="O19" s="53">
        <f>+N19-L19</f>
        <v>0</v>
      </c>
      <c r="P19" s="1"/>
      <c r="R19" s="1"/>
      <c r="S19" s="1"/>
      <c r="T19" s="1"/>
      <c r="U19" s="1"/>
    </row>
    <row r="20" spans="2:21">
      <c r="B20" t="str">
        <f t="shared" si="0"/>
        <v>IU</v>
      </c>
      <c r="C20" s="49">
        <f>IF(D11="","-",+C19+1)</f>
        <v>2020</v>
      </c>
      <c r="D20" s="435">
        <v>10431552.167790335</v>
      </c>
      <c r="E20" s="434">
        <v>323755.90908112278</v>
      </c>
      <c r="F20" s="435">
        <v>10107796.258709213</v>
      </c>
      <c r="G20" s="434">
        <v>1401378.1525541013</v>
      </c>
      <c r="H20" s="438">
        <v>1401378.1525541013</v>
      </c>
      <c r="I20" s="51">
        <f>H20-G20</f>
        <v>0</v>
      </c>
      <c r="J20" s="51"/>
      <c r="K20" s="419">
        <f t="shared" si="1"/>
        <v>1401378.1525541013</v>
      </c>
      <c r="L20" s="422">
        <f t="shared" si="2"/>
        <v>0</v>
      </c>
      <c r="M20" s="419">
        <f t="shared" si="3"/>
        <v>1401378.1525541013</v>
      </c>
      <c r="N20" s="53">
        <f t="shared" si="4"/>
        <v>0</v>
      </c>
      <c r="O20" s="53">
        <f t="shared" si="5"/>
        <v>0</v>
      </c>
      <c r="P20" s="1"/>
      <c r="R20" s="1"/>
      <c r="S20" s="1"/>
      <c r="T20" s="1"/>
      <c r="U20" s="1"/>
    </row>
    <row r="21" spans="2:21">
      <c r="B21" t="str">
        <f t="shared" si="0"/>
        <v>IU</v>
      </c>
      <c r="C21" s="49">
        <f>IF(D12="","-",+C20+1)</f>
        <v>2021</v>
      </c>
      <c r="D21" s="435">
        <v>10053296.035884239</v>
      </c>
      <c r="E21" s="434">
        <v>356663.38709677418</v>
      </c>
      <c r="F21" s="435">
        <v>9696632.6487874649</v>
      </c>
      <c r="G21" s="434">
        <v>1424987.0679285447</v>
      </c>
      <c r="H21" s="438">
        <v>1424987.0679285447</v>
      </c>
      <c r="I21" s="51">
        <f t="shared" ref="I21:I73" si="6">H21-G21</f>
        <v>0</v>
      </c>
      <c r="J21" s="51"/>
      <c r="K21" s="419">
        <f t="shared" si="1"/>
        <v>1424987.0679285447</v>
      </c>
      <c r="L21" s="422">
        <f t="shared" si="2"/>
        <v>0</v>
      </c>
      <c r="M21" s="419">
        <f t="shared" si="3"/>
        <v>1424987.0679285447</v>
      </c>
      <c r="N21" s="53">
        <f t="shared" si="4"/>
        <v>0</v>
      </c>
      <c r="O21" s="53">
        <f t="shared" si="5"/>
        <v>0</v>
      </c>
      <c r="P21" s="1"/>
      <c r="R21" s="1"/>
      <c r="S21" s="1"/>
      <c r="T21" s="1"/>
      <c r="U21" s="1"/>
    </row>
    <row r="22" spans="2:21">
      <c r="B22" t="str">
        <f t="shared" si="0"/>
        <v/>
      </c>
      <c r="C22" s="49">
        <f>IF(D11="","-",+C21+1)</f>
        <v>2022</v>
      </c>
      <c r="D22" s="435">
        <v>9696632.6487874649</v>
      </c>
      <c r="E22" s="434">
        <v>335047.42424242425</v>
      </c>
      <c r="F22" s="435">
        <v>9361585.2245450411</v>
      </c>
      <c r="G22" s="434">
        <v>1428596.2821515901</v>
      </c>
      <c r="H22" s="438">
        <v>1428596.2821515901</v>
      </c>
      <c r="I22" s="51">
        <f t="shared" si="6"/>
        <v>0</v>
      </c>
      <c r="J22" s="51"/>
      <c r="K22" s="419">
        <f t="shared" si="1"/>
        <v>1428596.2821515901</v>
      </c>
      <c r="L22" s="422">
        <f t="shared" si="2"/>
        <v>0</v>
      </c>
      <c r="M22" s="419">
        <f t="shared" si="3"/>
        <v>1428596.2821515901</v>
      </c>
      <c r="N22" s="53">
        <f t="shared" si="4"/>
        <v>0</v>
      </c>
      <c r="O22" s="53">
        <f t="shared" si="5"/>
        <v>0</v>
      </c>
      <c r="P22" s="1"/>
      <c r="R22" s="1"/>
      <c r="S22" s="1"/>
      <c r="T22" s="1"/>
      <c r="U22" s="1"/>
    </row>
    <row r="23" spans="2:21">
      <c r="B23" t="str">
        <f t="shared" si="0"/>
        <v>IU</v>
      </c>
      <c r="C23" s="49">
        <f>IF(D11="","-",+C22+1)</f>
        <v>2023</v>
      </c>
      <c r="D23" s="435">
        <v>9361585.5845450424</v>
      </c>
      <c r="E23" s="434">
        <v>356663.39870967745</v>
      </c>
      <c r="F23" s="435">
        <v>9004922.1858353652</v>
      </c>
      <c r="G23" s="434">
        <v>1394672.8038742263</v>
      </c>
      <c r="H23" s="438">
        <v>1394672.8038742263</v>
      </c>
      <c r="I23" s="51">
        <f t="shared" si="6"/>
        <v>0</v>
      </c>
      <c r="J23" s="51"/>
      <c r="K23" s="419">
        <f t="shared" ref="K23" si="7">+G23</f>
        <v>1394672.8038742263</v>
      </c>
      <c r="L23" s="422">
        <f t="shared" ref="L23" si="8">IF(K23&lt;&gt;0,+G23-K23,0)</f>
        <v>0</v>
      </c>
      <c r="M23" s="419">
        <f t="shared" ref="M23" si="9">+H23</f>
        <v>1394672.8038742263</v>
      </c>
      <c r="N23" s="53">
        <f t="shared" si="4"/>
        <v>0</v>
      </c>
      <c r="O23" s="53">
        <f t="shared" si="5"/>
        <v>0</v>
      </c>
      <c r="P23" s="1"/>
      <c r="R23" s="1"/>
      <c r="S23" s="1"/>
      <c r="T23" s="1"/>
      <c r="U23" s="1"/>
    </row>
    <row r="24" spans="2:21">
      <c r="B24" t="str">
        <f t="shared" si="0"/>
        <v/>
      </c>
      <c r="C24" s="49">
        <f>IF(D11="","-",+C23+1)</f>
        <v>2024</v>
      </c>
      <c r="D24" s="435">
        <v>9004922.1858353652</v>
      </c>
      <c r="E24" s="434">
        <v>356663.39870967745</v>
      </c>
      <c r="F24" s="435">
        <v>8648258.787125688</v>
      </c>
      <c r="G24" s="434">
        <v>1362291.2680030938</v>
      </c>
      <c r="H24" s="438">
        <v>1362291.2680030938</v>
      </c>
      <c r="I24" s="51">
        <f t="shared" si="6"/>
        <v>0</v>
      </c>
      <c r="J24" s="51"/>
      <c r="K24" s="419">
        <f t="shared" ref="K24" si="10">+G24</f>
        <v>1362291.2680030938</v>
      </c>
      <c r="L24" s="422">
        <f t="shared" ref="L24" si="11">IF(K24&lt;&gt;0,+G24-K24,0)</f>
        <v>0</v>
      </c>
      <c r="M24" s="419">
        <f t="shared" ref="M24" si="12">+H24</f>
        <v>1362291.2680030938</v>
      </c>
      <c r="N24" s="53">
        <f t="shared" ref="N24" si="13">IF(M24&lt;&gt;0,+H24-M24,0)</f>
        <v>0</v>
      </c>
      <c r="O24" s="53">
        <f t="shared" ref="O24" si="14">+N24-L24</f>
        <v>0</v>
      </c>
      <c r="P24" s="1"/>
      <c r="R24" s="1"/>
      <c r="S24" s="1"/>
      <c r="T24" s="1"/>
      <c r="U24" s="1"/>
    </row>
    <row r="25" spans="2:21">
      <c r="B25" t="str">
        <f t="shared" si="0"/>
        <v/>
      </c>
      <c r="C25" s="49">
        <f>IF(D11="","-",+C24+1)</f>
        <v>2025</v>
      </c>
      <c r="D25" s="435">
        <v>8648258.787125688</v>
      </c>
      <c r="E25" s="434">
        <v>368552.17866666673</v>
      </c>
      <c r="F25" s="435">
        <v>8279706.608459021</v>
      </c>
      <c r="G25" s="434">
        <v>1337254.3839560486</v>
      </c>
      <c r="H25" s="438">
        <v>1337254.3839560486</v>
      </c>
      <c r="I25" s="51">
        <f t="shared" si="6"/>
        <v>0</v>
      </c>
      <c r="J25" s="51"/>
      <c r="K25" s="419">
        <f t="shared" ref="K25" si="15">+G25</f>
        <v>1337254.3839560486</v>
      </c>
      <c r="L25" s="422">
        <f t="shared" ref="L25" si="16">IF(K25&lt;&gt;0,+G25-K25,0)</f>
        <v>0</v>
      </c>
      <c r="M25" s="419">
        <f t="shared" ref="M25" si="17">+H25</f>
        <v>1337254.3839560486</v>
      </c>
      <c r="N25" s="53">
        <f t="shared" ref="N25" si="18">IF(M25&lt;&gt;0,+H25-M25,0)</f>
        <v>0</v>
      </c>
      <c r="O25" s="53">
        <f t="shared" ref="O25" si="19">+N25-L25</f>
        <v>0</v>
      </c>
      <c r="P25" s="1"/>
      <c r="R25" s="1"/>
      <c r="S25" s="1"/>
      <c r="T25" s="1"/>
      <c r="U25" s="1"/>
    </row>
    <row r="26" spans="2:21">
      <c r="B26" t="str">
        <f t="shared" si="0"/>
        <v/>
      </c>
      <c r="C26" s="49">
        <f>IF(D11="","-",+C25+1)</f>
        <v>2026</v>
      </c>
      <c r="D26" s="54">
        <f>IF(F25+SUM(E$17:E25)=D$10,F25,D$10-SUM(E$17:E25))</f>
        <v>8279706.608459021</v>
      </c>
      <c r="E26" s="377">
        <f t="shared" ref="E26:E40" si="20">IF(+I$14&lt;F25,I$14,D26)</f>
        <v>368552.17866666673</v>
      </c>
      <c r="F26" s="54">
        <f t="shared" ref="F26:F73" si="21">+D26-E26</f>
        <v>7911154.4297923539</v>
      </c>
      <c r="G26" s="378">
        <f t="shared" ref="G26:G73" si="22">(D26+F26)/2*I$12+E26</f>
        <v>1295073.6138640055</v>
      </c>
      <c r="H26" s="359">
        <f t="shared" ref="H26:H73" si="23">+(D26+F26)/2*I$13+E26</f>
        <v>1295073.6138640055</v>
      </c>
      <c r="I26" s="51">
        <f t="shared" si="6"/>
        <v>0</v>
      </c>
      <c r="J26" s="51"/>
      <c r="K26" s="112"/>
      <c r="L26" s="53">
        <f t="shared" ref="L26:L73" si="24">IF(K26&lt;&gt;0,+G26-K26,0)</f>
        <v>0</v>
      </c>
      <c r="M26" s="112"/>
      <c r="N26" s="53">
        <f t="shared" si="4"/>
        <v>0</v>
      </c>
      <c r="O26" s="53">
        <f t="shared" si="5"/>
        <v>0</v>
      </c>
      <c r="P26" s="1"/>
      <c r="R26" s="1"/>
      <c r="S26" s="1"/>
      <c r="T26" s="1"/>
      <c r="U26" s="1"/>
    </row>
    <row r="27" spans="2:21">
      <c r="B27" t="str">
        <f t="shared" si="0"/>
        <v/>
      </c>
      <c r="C27" s="49">
        <f>IF(D11="","-",+C26+1)</f>
        <v>2027</v>
      </c>
      <c r="D27" s="54">
        <f>IF(F26+SUM(E$17:E26)=D$10,F26,D$10-SUM(E$17:E26))</f>
        <v>7911154.4297923539</v>
      </c>
      <c r="E27" s="377">
        <f t="shared" si="20"/>
        <v>368552.17866666673</v>
      </c>
      <c r="F27" s="54">
        <f t="shared" si="21"/>
        <v>7542602.2511256868</v>
      </c>
      <c r="G27" s="378">
        <f t="shared" si="22"/>
        <v>1252892.8437719631</v>
      </c>
      <c r="H27" s="359">
        <f t="shared" si="23"/>
        <v>1252892.8437719631</v>
      </c>
      <c r="I27" s="51">
        <f t="shared" si="6"/>
        <v>0</v>
      </c>
      <c r="J27" s="51"/>
      <c r="K27" s="112"/>
      <c r="L27" s="53">
        <f t="shared" si="24"/>
        <v>0</v>
      </c>
      <c r="M27" s="112"/>
      <c r="N27" s="53">
        <f t="shared" si="4"/>
        <v>0</v>
      </c>
      <c r="O27" s="53">
        <f t="shared" si="5"/>
        <v>0</v>
      </c>
      <c r="P27" s="1"/>
      <c r="R27" s="1"/>
      <c r="S27" s="1"/>
      <c r="T27" s="1"/>
      <c r="U27" s="1"/>
    </row>
    <row r="28" spans="2:21">
      <c r="B28" t="str">
        <f t="shared" si="0"/>
        <v/>
      </c>
      <c r="C28" s="49">
        <f>IF(D11="","-",+C27+1)</f>
        <v>2028</v>
      </c>
      <c r="D28" s="54">
        <f>IF(F27+SUM(E$17:E27)=D$10,F27,D$10-SUM(E$17:E27))</f>
        <v>7542602.2511256868</v>
      </c>
      <c r="E28" s="377">
        <f t="shared" si="20"/>
        <v>368552.17866666673</v>
      </c>
      <c r="F28" s="54">
        <f t="shared" si="21"/>
        <v>7174050.0724590197</v>
      </c>
      <c r="G28" s="378">
        <f t="shared" si="22"/>
        <v>1210712.0736799203</v>
      </c>
      <c r="H28" s="359">
        <f t="shared" si="23"/>
        <v>1210712.0736799203</v>
      </c>
      <c r="I28" s="51">
        <f t="shared" si="6"/>
        <v>0</v>
      </c>
      <c r="J28" s="51"/>
      <c r="K28" s="112"/>
      <c r="L28" s="53">
        <f t="shared" si="24"/>
        <v>0</v>
      </c>
      <c r="M28" s="112"/>
      <c r="N28" s="53">
        <f t="shared" si="4"/>
        <v>0</v>
      </c>
      <c r="O28" s="53">
        <f t="shared" si="5"/>
        <v>0</v>
      </c>
      <c r="P28" s="1"/>
      <c r="R28" s="1"/>
      <c r="S28" s="1"/>
      <c r="T28" s="1"/>
      <c r="U28" s="1"/>
    </row>
    <row r="29" spans="2:21">
      <c r="B29" t="str">
        <f t="shared" si="0"/>
        <v/>
      </c>
      <c r="C29" s="49">
        <f>IF(D11="","-",+C28+1)</f>
        <v>2029</v>
      </c>
      <c r="D29" s="54">
        <f>IF(F28+SUM(E$17:E28)=D$10,F28,D$10-SUM(E$17:E28))</f>
        <v>7174050.0724590197</v>
      </c>
      <c r="E29" s="377">
        <f t="shared" si="20"/>
        <v>368552.17866666673</v>
      </c>
      <c r="F29" s="54">
        <f t="shared" si="21"/>
        <v>6805497.8937923526</v>
      </c>
      <c r="G29" s="378">
        <f t="shared" si="22"/>
        <v>1168531.3035878777</v>
      </c>
      <c r="H29" s="359">
        <f t="shared" si="23"/>
        <v>1168531.3035878777</v>
      </c>
      <c r="I29" s="51">
        <f t="shared" si="6"/>
        <v>0</v>
      </c>
      <c r="J29" s="51"/>
      <c r="K29" s="112"/>
      <c r="L29" s="53">
        <f t="shared" si="24"/>
        <v>0</v>
      </c>
      <c r="M29" s="112"/>
      <c r="N29" s="53">
        <f t="shared" si="4"/>
        <v>0</v>
      </c>
      <c r="O29" s="53">
        <f t="shared" si="5"/>
        <v>0</v>
      </c>
      <c r="P29" s="1"/>
      <c r="R29" s="1"/>
      <c r="S29" s="1"/>
      <c r="T29" s="1"/>
      <c r="U29" s="1"/>
    </row>
    <row r="30" spans="2:21">
      <c r="B30" t="str">
        <f t="shared" si="0"/>
        <v/>
      </c>
      <c r="C30" s="49">
        <f>IF(D11="","-",+C29+1)</f>
        <v>2030</v>
      </c>
      <c r="D30" s="54">
        <f>IF(F29+SUM(E$17:E29)=D$10,F29,D$10-SUM(E$17:E29))</f>
        <v>6805497.8937923526</v>
      </c>
      <c r="E30" s="377">
        <f t="shared" si="20"/>
        <v>368552.17866666673</v>
      </c>
      <c r="F30" s="54">
        <f t="shared" si="21"/>
        <v>6436945.7151256856</v>
      </c>
      <c r="G30" s="378">
        <f t="shared" si="22"/>
        <v>1126350.533495835</v>
      </c>
      <c r="H30" s="359">
        <f t="shared" si="23"/>
        <v>1126350.533495835</v>
      </c>
      <c r="I30" s="51">
        <f t="shared" si="6"/>
        <v>0</v>
      </c>
      <c r="J30" s="51"/>
      <c r="K30" s="112"/>
      <c r="L30" s="53">
        <f t="shared" si="24"/>
        <v>0</v>
      </c>
      <c r="M30" s="112"/>
      <c r="N30" s="53">
        <f t="shared" si="4"/>
        <v>0</v>
      </c>
      <c r="O30" s="53">
        <f t="shared" si="5"/>
        <v>0</v>
      </c>
      <c r="P30" s="1"/>
      <c r="R30" s="1"/>
      <c r="S30" s="1"/>
      <c r="T30" s="1"/>
      <c r="U30" s="1"/>
    </row>
    <row r="31" spans="2:21">
      <c r="B31" t="str">
        <f t="shared" si="0"/>
        <v/>
      </c>
      <c r="C31" s="49">
        <f>IF(D11="","-",+C30+1)</f>
        <v>2031</v>
      </c>
      <c r="D31" s="54">
        <f>IF(F30+SUM(E$17:E30)=D$10,F30,D$10-SUM(E$17:E30))</f>
        <v>6436945.7151256856</v>
      </c>
      <c r="E31" s="377">
        <f t="shared" si="20"/>
        <v>368552.17866666673</v>
      </c>
      <c r="F31" s="54">
        <f t="shared" si="21"/>
        <v>6068393.5364590185</v>
      </c>
      <c r="G31" s="378">
        <f t="shared" si="22"/>
        <v>1084169.7634037924</v>
      </c>
      <c r="H31" s="359">
        <f t="shared" si="23"/>
        <v>1084169.7634037924</v>
      </c>
      <c r="I31" s="51">
        <f t="shared" si="6"/>
        <v>0</v>
      </c>
      <c r="J31" s="51"/>
      <c r="K31" s="112"/>
      <c r="L31" s="53">
        <f t="shared" si="24"/>
        <v>0</v>
      </c>
      <c r="M31" s="112"/>
      <c r="N31" s="53">
        <f t="shared" si="4"/>
        <v>0</v>
      </c>
      <c r="O31" s="53">
        <f t="shared" si="5"/>
        <v>0</v>
      </c>
      <c r="P31" s="1"/>
      <c r="R31" s="1"/>
      <c r="S31" s="1"/>
      <c r="T31" s="1"/>
      <c r="U31" s="1"/>
    </row>
    <row r="32" spans="2:21">
      <c r="B32" t="str">
        <f t="shared" si="0"/>
        <v/>
      </c>
      <c r="C32" s="49">
        <f>IF(D12="","-",+C31+1)</f>
        <v>2032</v>
      </c>
      <c r="D32" s="54">
        <f>IF(F31+SUM(E$17:E31)=D$10,F31,D$10-SUM(E$17:E31))</f>
        <v>6068393.5364590185</v>
      </c>
      <c r="E32" s="377">
        <f t="shared" si="20"/>
        <v>368552.17866666673</v>
      </c>
      <c r="F32" s="54">
        <f>+D32-E32</f>
        <v>5699841.3577923514</v>
      </c>
      <c r="G32" s="378">
        <f t="shared" si="22"/>
        <v>1041988.9933117495</v>
      </c>
      <c r="H32" s="359">
        <f t="shared" si="23"/>
        <v>1041988.9933117495</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2033</v>
      </c>
      <c r="D33" s="54">
        <f>IF(F32+SUM(E$17:E32)=D$10,F32,D$10-SUM(E$17:E32))</f>
        <v>5699841.3577923514</v>
      </c>
      <c r="E33" s="377">
        <f t="shared" si="20"/>
        <v>368552.17866666673</v>
      </c>
      <c r="F33" s="54">
        <f>+D33-E33</f>
        <v>5331289.1791256843</v>
      </c>
      <c r="G33" s="378">
        <f t="shared" si="22"/>
        <v>999808.22321970691</v>
      </c>
      <c r="H33" s="359">
        <f t="shared" si="23"/>
        <v>999808.22321970691</v>
      </c>
      <c r="I33" s="51">
        <f>H33-G33</f>
        <v>0</v>
      </c>
      <c r="J33" s="51"/>
      <c r="K33" s="112"/>
      <c r="L33" s="53">
        <f>IF(K33&lt;&gt;0,+G33-K33,0)</f>
        <v>0</v>
      </c>
      <c r="M33" s="112"/>
      <c r="N33" s="53">
        <f>IF(M33&lt;&gt;0,+H33-M33,0)</f>
        <v>0</v>
      </c>
      <c r="O33" s="53">
        <f>+N33-L33</f>
        <v>0</v>
      </c>
      <c r="P33" s="1"/>
      <c r="R33" s="1"/>
      <c r="S33" s="1"/>
      <c r="T33" s="1"/>
      <c r="U33" s="1"/>
    </row>
    <row r="34" spans="2:21">
      <c r="B34" t="str">
        <f t="shared" si="0"/>
        <v/>
      </c>
      <c r="C34" s="379">
        <f>IF(D11="","-",+C33+1)</f>
        <v>2034</v>
      </c>
      <c r="D34" s="380">
        <f>IF(F33+SUM(E$17:E33)=D$10,F33,D$10-SUM(E$17:E33))</f>
        <v>5331289.1791256843</v>
      </c>
      <c r="E34" s="381">
        <f t="shared" si="20"/>
        <v>368552.17866666673</v>
      </c>
      <c r="F34" s="380">
        <f t="shared" si="21"/>
        <v>4962737.0004590172</v>
      </c>
      <c r="G34" s="378">
        <f t="shared" si="22"/>
        <v>957627.45312766405</v>
      </c>
      <c r="H34" s="359">
        <f t="shared" si="23"/>
        <v>957627.45312766405</v>
      </c>
      <c r="I34" s="384">
        <f t="shared" si="6"/>
        <v>0</v>
      </c>
      <c r="J34" s="384"/>
      <c r="K34" s="385"/>
      <c r="L34" s="386">
        <f t="shared" si="24"/>
        <v>0</v>
      </c>
      <c r="M34" s="385"/>
      <c r="N34" s="386">
        <f t="shared" si="4"/>
        <v>0</v>
      </c>
      <c r="O34" s="386">
        <f t="shared" si="5"/>
        <v>0</v>
      </c>
      <c r="P34" s="387"/>
      <c r="Q34" s="187"/>
      <c r="R34" s="387"/>
      <c r="S34" s="387"/>
      <c r="T34" s="387"/>
      <c r="U34" s="1"/>
    </row>
    <row r="35" spans="2:21">
      <c r="B35" t="str">
        <f t="shared" si="0"/>
        <v/>
      </c>
      <c r="C35" s="49">
        <f>IF(D11="","-",+C34+1)</f>
        <v>2035</v>
      </c>
      <c r="D35" s="54">
        <f>IF(F34+SUM(E$17:E34)=D$10,F34,D$10-SUM(E$17:E34))</f>
        <v>4962737.0004590172</v>
      </c>
      <c r="E35" s="377">
        <f t="shared" si="20"/>
        <v>368552.17866666673</v>
      </c>
      <c r="F35" s="54">
        <f t="shared" si="21"/>
        <v>4594184.8217923502</v>
      </c>
      <c r="G35" s="378">
        <f t="shared" si="22"/>
        <v>915446.68303562154</v>
      </c>
      <c r="H35" s="359">
        <f t="shared" si="23"/>
        <v>915446.68303562154</v>
      </c>
      <c r="I35" s="51">
        <f t="shared" si="6"/>
        <v>0</v>
      </c>
      <c r="J35" s="51"/>
      <c r="K35" s="112"/>
      <c r="L35" s="53">
        <f t="shared" si="24"/>
        <v>0</v>
      </c>
      <c r="M35" s="112"/>
      <c r="N35" s="53">
        <f t="shared" si="4"/>
        <v>0</v>
      </c>
      <c r="O35" s="53">
        <f t="shared" si="5"/>
        <v>0</v>
      </c>
      <c r="P35" s="1"/>
      <c r="R35" s="1"/>
      <c r="S35" s="1"/>
      <c r="T35" s="1"/>
      <c r="U35" s="1"/>
    </row>
    <row r="36" spans="2:21">
      <c r="B36" t="str">
        <f t="shared" si="0"/>
        <v/>
      </c>
      <c r="C36" s="49">
        <f>IF(D11="","-",+C35+1)</f>
        <v>2036</v>
      </c>
      <c r="D36" s="54">
        <f>IF(F35+SUM(E$17:E35)=D$10,F35,D$10-SUM(E$17:E35))</f>
        <v>4594184.8217923502</v>
      </c>
      <c r="E36" s="377">
        <f t="shared" si="20"/>
        <v>368552.17866666673</v>
      </c>
      <c r="F36" s="54">
        <f t="shared" si="21"/>
        <v>4225632.6431256831</v>
      </c>
      <c r="G36" s="378">
        <f t="shared" si="22"/>
        <v>873265.91294357879</v>
      </c>
      <c r="H36" s="359">
        <f t="shared" si="23"/>
        <v>873265.91294357879</v>
      </c>
      <c r="I36" s="51">
        <f t="shared" si="6"/>
        <v>0</v>
      </c>
      <c r="J36" s="51"/>
      <c r="K36" s="112"/>
      <c r="L36" s="53">
        <f t="shared" si="24"/>
        <v>0</v>
      </c>
      <c r="M36" s="112"/>
      <c r="N36" s="53">
        <f t="shared" si="4"/>
        <v>0</v>
      </c>
      <c r="O36" s="53">
        <f t="shared" si="5"/>
        <v>0</v>
      </c>
      <c r="P36" s="1"/>
      <c r="R36" s="1"/>
      <c r="S36" s="1"/>
      <c r="T36" s="1"/>
      <c r="U36" s="1"/>
    </row>
    <row r="37" spans="2:21">
      <c r="B37" t="str">
        <f t="shared" si="0"/>
        <v/>
      </c>
      <c r="C37" s="49">
        <f>IF(D11="","-",+C36+1)</f>
        <v>2037</v>
      </c>
      <c r="D37" s="54">
        <f>IF(F36+SUM(E$17:E36)=D$10,F36,D$10-SUM(E$17:E36))</f>
        <v>4225632.6431256831</v>
      </c>
      <c r="E37" s="377">
        <f t="shared" si="20"/>
        <v>368552.17866666673</v>
      </c>
      <c r="F37" s="54">
        <f t="shared" si="21"/>
        <v>3857080.4644590165</v>
      </c>
      <c r="G37" s="378">
        <f t="shared" si="22"/>
        <v>831085.14285153616</v>
      </c>
      <c r="H37" s="359">
        <f t="shared" si="23"/>
        <v>831085.14285153616</v>
      </c>
      <c r="I37" s="51">
        <f t="shared" si="6"/>
        <v>0</v>
      </c>
      <c r="J37" s="51"/>
      <c r="K37" s="112"/>
      <c r="L37" s="53">
        <f t="shared" si="24"/>
        <v>0</v>
      </c>
      <c r="M37" s="112"/>
      <c r="N37" s="53">
        <f t="shared" si="4"/>
        <v>0</v>
      </c>
      <c r="O37" s="53">
        <f t="shared" si="5"/>
        <v>0</v>
      </c>
      <c r="P37" s="1"/>
      <c r="R37" s="1"/>
      <c r="S37" s="1"/>
      <c r="T37" s="1"/>
      <c r="U37" s="1"/>
    </row>
    <row r="38" spans="2:21">
      <c r="B38" t="str">
        <f t="shared" si="0"/>
        <v/>
      </c>
      <c r="C38" s="49">
        <f>IF(D11="","-",+C37+1)</f>
        <v>2038</v>
      </c>
      <c r="D38" s="54">
        <f>IF(F37+SUM(E$17:E37)=D$10,F37,D$10-SUM(E$17:E37))</f>
        <v>3857080.4644590165</v>
      </c>
      <c r="E38" s="377">
        <f t="shared" si="20"/>
        <v>368552.17866666673</v>
      </c>
      <c r="F38" s="54">
        <f t="shared" si="21"/>
        <v>3488528.2857923498</v>
      </c>
      <c r="G38" s="378">
        <f t="shared" si="22"/>
        <v>788904.37275949342</v>
      </c>
      <c r="H38" s="359">
        <f t="shared" si="23"/>
        <v>788904.37275949342</v>
      </c>
      <c r="I38" s="51">
        <f t="shared" si="6"/>
        <v>0</v>
      </c>
      <c r="J38" s="51"/>
      <c r="K38" s="112"/>
      <c r="L38" s="53">
        <f t="shared" si="24"/>
        <v>0</v>
      </c>
      <c r="M38" s="112"/>
      <c r="N38" s="53">
        <f t="shared" si="4"/>
        <v>0</v>
      </c>
      <c r="O38" s="53">
        <f t="shared" si="5"/>
        <v>0</v>
      </c>
      <c r="P38" s="1"/>
      <c r="R38" s="1"/>
      <c r="S38" s="1"/>
      <c r="T38" s="1"/>
      <c r="U38" s="1"/>
    </row>
    <row r="39" spans="2:21">
      <c r="B39" t="str">
        <f t="shared" si="0"/>
        <v/>
      </c>
      <c r="C39" s="49">
        <f>IF(D11="","-",+C38+1)</f>
        <v>2039</v>
      </c>
      <c r="D39" s="54">
        <f>IF(F38+SUM(E$17:E38)=D$10,F38,D$10-SUM(E$17:E38))</f>
        <v>3488528.2857923498</v>
      </c>
      <c r="E39" s="377">
        <f t="shared" si="20"/>
        <v>368552.17866666673</v>
      </c>
      <c r="F39" s="54">
        <f t="shared" si="21"/>
        <v>3119976.1071256832</v>
      </c>
      <c r="G39" s="378">
        <f t="shared" si="22"/>
        <v>746723.6026674509</v>
      </c>
      <c r="H39" s="359">
        <f t="shared" si="23"/>
        <v>746723.6026674509</v>
      </c>
      <c r="I39" s="51">
        <f t="shared" si="6"/>
        <v>0</v>
      </c>
      <c r="J39" s="51"/>
      <c r="K39" s="112"/>
      <c r="L39" s="53">
        <f t="shared" si="24"/>
        <v>0</v>
      </c>
      <c r="M39" s="112"/>
      <c r="N39" s="53">
        <f t="shared" si="4"/>
        <v>0</v>
      </c>
      <c r="O39" s="53">
        <f t="shared" si="5"/>
        <v>0</v>
      </c>
      <c r="P39" s="1"/>
      <c r="R39" s="1"/>
      <c r="S39" s="1"/>
      <c r="T39" s="1"/>
      <c r="U39" s="1"/>
    </row>
    <row r="40" spans="2:21">
      <c r="B40" t="str">
        <f t="shared" si="0"/>
        <v/>
      </c>
      <c r="C40" s="49">
        <f>IF(D11="","-",+C39+1)</f>
        <v>2040</v>
      </c>
      <c r="D40" s="54">
        <f>IF(F39+SUM(E$17:E39)=D$10,F39,D$10-SUM(E$17:E39))</f>
        <v>3119976.1071256832</v>
      </c>
      <c r="E40" s="377">
        <f t="shared" si="20"/>
        <v>368552.17866666673</v>
      </c>
      <c r="F40" s="54">
        <f t="shared" si="21"/>
        <v>2751423.9284590166</v>
      </c>
      <c r="G40" s="378">
        <f t="shared" si="22"/>
        <v>704542.83257540804</v>
      </c>
      <c r="H40" s="359">
        <f t="shared" si="23"/>
        <v>704542.83257540804</v>
      </c>
      <c r="I40" s="51">
        <f t="shared" si="6"/>
        <v>0</v>
      </c>
      <c r="J40" s="51"/>
      <c r="K40" s="112"/>
      <c r="L40" s="53">
        <f t="shared" si="24"/>
        <v>0</v>
      </c>
      <c r="M40" s="112"/>
      <c r="N40" s="53">
        <f t="shared" si="4"/>
        <v>0</v>
      </c>
      <c r="O40" s="53">
        <f t="shared" si="5"/>
        <v>0</v>
      </c>
      <c r="P40" s="1"/>
      <c r="R40" s="1"/>
      <c r="S40" s="1"/>
      <c r="T40" s="1"/>
      <c r="U40" s="1"/>
    </row>
    <row r="41" spans="2:21">
      <c r="B41" t="str">
        <f t="shared" si="0"/>
        <v/>
      </c>
      <c r="C41" s="49">
        <f>IF(D12="","-",+C40+1)</f>
        <v>2041</v>
      </c>
      <c r="D41" s="54">
        <f>IF(F40+SUM(E$17:E40)=D$10,F40,D$10-SUM(E$17:E40))</f>
        <v>2751423.9284590166</v>
      </c>
      <c r="E41" s="377">
        <f t="shared" ref="E41:E73" si="25">IF(+I$14&lt;F40,I$14,D41)</f>
        <v>368552.17866666673</v>
      </c>
      <c r="F41" s="54">
        <f>+D41-E41</f>
        <v>2382871.74979235</v>
      </c>
      <c r="G41" s="378">
        <f t="shared" si="22"/>
        <v>662362.06248336553</v>
      </c>
      <c r="H41" s="359">
        <f t="shared" si="23"/>
        <v>662362.06248336553</v>
      </c>
      <c r="I41" s="51">
        <f>H41-G41</f>
        <v>0</v>
      </c>
      <c r="J41" s="51"/>
      <c r="K41" s="112"/>
      <c r="L41" s="53">
        <f>IF(K41&lt;&gt;0,+G41-K41,0)</f>
        <v>0</v>
      </c>
      <c r="M41" s="112"/>
      <c r="N41" s="53">
        <f>IF(M41&lt;&gt;0,+H41-M41,0)</f>
        <v>0</v>
      </c>
      <c r="O41" s="53">
        <f>+N41-L41</f>
        <v>0</v>
      </c>
      <c r="P41" s="1"/>
      <c r="R41" s="1"/>
      <c r="S41" s="1"/>
      <c r="T41" s="1"/>
      <c r="U41" s="1"/>
    </row>
    <row r="42" spans="2:21">
      <c r="B42" t="str">
        <f t="shared" si="0"/>
        <v/>
      </c>
      <c r="C42" s="49">
        <f>IF(D13="","-",+C41+1)</f>
        <v>2042</v>
      </c>
      <c r="D42" s="54">
        <f>IF(F41+SUM(E$17:E41)=D$10,F41,D$10-SUM(E$17:E41))</f>
        <v>2382871.74979235</v>
      </c>
      <c r="E42" s="377">
        <f t="shared" si="25"/>
        <v>368552.17866666673</v>
      </c>
      <c r="F42" s="54">
        <f>+D42-E42</f>
        <v>2014319.5711256834</v>
      </c>
      <c r="G42" s="378">
        <f t="shared" si="22"/>
        <v>620181.29239132279</v>
      </c>
      <c r="H42" s="359">
        <f t="shared" si="23"/>
        <v>620181.29239132279</v>
      </c>
      <c r="I42" s="51">
        <f>H42-G42</f>
        <v>0</v>
      </c>
      <c r="J42" s="51"/>
      <c r="K42" s="112"/>
      <c r="L42" s="53">
        <f>IF(K42&lt;&gt;0,+G42-K42,0)</f>
        <v>0</v>
      </c>
      <c r="M42" s="112"/>
      <c r="N42" s="53">
        <f>IF(M42&lt;&gt;0,+H42-M42,0)</f>
        <v>0</v>
      </c>
      <c r="O42" s="53">
        <f>+N42-L42</f>
        <v>0</v>
      </c>
      <c r="P42" s="1"/>
      <c r="R42" s="1"/>
      <c r="S42" s="1"/>
      <c r="T42" s="1"/>
      <c r="U42" s="1"/>
    </row>
    <row r="43" spans="2:21">
      <c r="B43" t="str">
        <f t="shared" si="0"/>
        <v/>
      </c>
      <c r="C43" s="49">
        <f>IF(D14="","-",+C42+1)</f>
        <v>2043</v>
      </c>
      <c r="D43" s="54">
        <f>IF(F42+SUM(E$17:E42)=D$10,F42,D$10-SUM(E$17:E42))</f>
        <v>2014319.5711256834</v>
      </c>
      <c r="E43" s="377">
        <f t="shared" si="25"/>
        <v>368552.17866666673</v>
      </c>
      <c r="F43" s="54">
        <f>+D43-E43</f>
        <v>1645767.3924590168</v>
      </c>
      <c r="G43" s="378">
        <f t="shared" si="22"/>
        <v>578000.52229928016</v>
      </c>
      <c r="H43" s="359">
        <f t="shared" si="23"/>
        <v>578000.52229928016</v>
      </c>
      <c r="I43" s="51">
        <f>H43-G43</f>
        <v>0</v>
      </c>
      <c r="J43" s="51"/>
      <c r="K43" s="112"/>
      <c r="L43" s="53">
        <f>IF(K43&lt;&gt;0,+G43-K43,0)</f>
        <v>0</v>
      </c>
      <c r="M43" s="112"/>
      <c r="N43" s="53">
        <f>IF(M43&lt;&gt;0,+H43-M43,0)</f>
        <v>0</v>
      </c>
      <c r="O43" s="53">
        <f>+N43-L43</f>
        <v>0</v>
      </c>
      <c r="P43" s="1"/>
      <c r="R43" s="1"/>
      <c r="S43" s="1"/>
      <c r="T43" s="1"/>
      <c r="U43" s="1"/>
    </row>
    <row r="44" spans="2:21">
      <c r="B44" t="str">
        <f t="shared" si="0"/>
        <v/>
      </c>
      <c r="C44" s="49">
        <f>IF(D11="","-",+C43+1)</f>
        <v>2044</v>
      </c>
      <c r="D44" s="54">
        <f>IF(F43+SUM(E$17:E43)=D$10,F43,D$10-SUM(E$17:E43))</f>
        <v>1645767.3924590168</v>
      </c>
      <c r="E44" s="377">
        <f t="shared" si="25"/>
        <v>368552.17866666673</v>
      </c>
      <c r="F44" s="54">
        <f t="shared" si="21"/>
        <v>1277215.2137923501</v>
      </c>
      <c r="G44" s="378">
        <f t="shared" si="22"/>
        <v>535819.75220723753</v>
      </c>
      <c r="H44" s="359">
        <f t="shared" si="23"/>
        <v>535819.75220723753</v>
      </c>
      <c r="I44" s="51">
        <f t="shared" si="6"/>
        <v>0</v>
      </c>
      <c r="J44" s="51"/>
      <c r="K44" s="112"/>
      <c r="L44" s="53">
        <f t="shared" si="24"/>
        <v>0</v>
      </c>
      <c r="M44" s="112"/>
      <c r="N44" s="53">
        <f t="shared" si="4"/>
        <v>0</v>
      </c>
      <c r="O44" s="53">
        <f t="shared" si="5"/>
        <v>0</v>
      </c>
      <c r="P44" s="1"/>
      <c r="R44" s="1"/>
      <c r="S44" s="1"/>
      <c r="T44" s="1"/>
      <c r="U44" s="1"/>
    </row>
    <row r="45" spans="2:21">
      <c r="B45" t="str">
        <f t="shared" si="0"/>
        <v/>
      </c>
      <c r="C45" s="49">
        <f>IF(D11="","-",+C44+1)</f>
        <v>2045</v>
      </c>
      <c r="D45" s="54">
        <f>IF(F44+SUM(E$17:E44)=D$10,F44,D$10-SUM(E$17:E44))</f>
        <v>1277215.2137923501</v>
      </c>
      <c r="E45" s="377">
        <f t="shared" si="25"/>
        <v>368552.17866666673</v>
      </c>
      <c r="F45" s="54">
        <f t="shared" si="21"/>
        <v>908663.03512568341</v>
      </c>
      <c r="G45" s="378">
        <f t="shared" si="22"/>
        <v>493638.9821151949</v>
      </c>
      <c r="H45" s="359">
        <f t="shared" si="23"/>
        <v>493638.9821151949</v>
      </c>
      <c r="I45" s="51">
        <f t="shared" si="6"/>
        <v>0</v>
      </c>
      <c r="J45" s="51"/>
      <c r="K45" s="112"/>
      <c r="L45" s="53">
        <f t="shared" si="24"/>
        <v>0</v>
      </c>
      <c r="M45" s="112"/>
      <c r="N45" s="53">
        <f t="shared" si="4"/>
        <v>0</v>
      </c>
      <c r="O45" s="53">
        <f t="shared" si="5"/>
        <v>0</v>
      </c>
      <c r="P45" s="1"/>
      <c r="R45" s="1"/>
      <c r="S45" s="1"/>
      <c r="T45" s="1"/>
      <c r="U45" s="1"/>
    </row>
    <row r="46" spans="2:21">
      <c r="B46" t="str">
        <f t="shared" si="0"/>
        <v/>
      </c>
      <c r="C46" s="49">
        <f>IF(D11="","-",+C45+1)</f>
        <v>2046</v>
      </c>
      <c r="D46" s="54">
        <f>IF(F45+SUM(E$17:E45)=D$10,F45,D$10-SUM(E$17:E45))</f>
        <v>908663.03512568341</v>
      </c>
      <c r="E46" s="377">
        <f t="shared" si="25"/>
        <v>368552.17866666673</v>
      </c>
      <c r="F46" s="54">
        <f t="shared" si="21"/>
        <v>540110.85645901668</v>
      </c>
      <c r="G46" s="378">
        <f t="shared" si="22"/>
        <v>451458.21202315227</v>
      </c>
      <c r="H46" s="359">
        <f t="shared" si="23"/>
        <v>451458.21202315227</v>
      </c>
      <c r="I46" s="51">
        <f t="shared" si="6"/>
        <v>0</v>
      </c>
      <c r="J46" s="51"/>
      <c r="K46" s="112"/>
      <c r="L46" s="53">
        <f t="shared" si="24"/>
        <v>0</v>
      </c>
      <c r="M46" s="112"/>
      <c r="N46" s="53">
        <f t="shared" si="4"/>
        <v>0</v>
      </c>
      <c r="O46" s="53">
        <f t="shared" si="5"/>
        <v>0</v>
      </c>
      <c r="P46" s="1"/>
      <c r="R46" s="1"/>
      <c r="S46" s="1"/>
      <c r="T46" s="1"/>
      <c r="U46" s="1"/>
    </row>
    <row r="47" spans="2:21">
      <c r="B47" t="str">
        <f t="shared" si="0"/>
        <v/>
      </c>
      <c r="C47" s="49">
        <f>IF(D11="","-",+C46+1)</f>
        <v>2047</v>
      </c>
      <c r="D47" s="54">
        <f>IF(F46+SUM(E$17:E46)=D$10,F46,D$10-SUM(E$17:E46))</f>
        <v>540110.85645901668</v>
      </c>
      <c r="E47" s="377">
        <f t="shared" si="25"/>
        <v>368552.17866666673</v>
      </c>
      <c r="F47" s="54">
        <f t="shared" si="21"/>
        <v>171558.67779234995</v>
      </c>
      <c r="G47" s="378">
        <f t="shared" si="22"/>
        <v>409277.44193110958</v>
      </c>
      <c r="H47" s="359">
        <f t="shared" si="23"/>
        <v>409277.44193110958</v>
      </c>
      <c r="I47" s="51">
        <f t="shared" si="6"/>
        <v>0</v>
      </c>
      <c r="J47" s="51"/>
      <c r="K47" s="112"/>
      <c r="L47" s="53">
        <f t="shared" si="24"/>
        <v>0</v>
      </c>
      <c r="M47" s="112"/>
      <c r="N47" s="53">
        <f t="shared" si="4"/>
        <v>0</v>
      </c>
      <c r="O47" s="53">
        <f t="shared" si="5"/>
        <v>0</v>
      </c>
      <c r="P47" s="1"/>
      <c r="R47" s="1"/>
      <c r="S47" s="1"/>
      <c r="T47" s="1"/>
      <c r="U47" s="1"/>
    </row>
    <row r="48" spans="2:21">
      <c r="B48" t="str">
        <f t="shared" si="0"/>
        <v/>
      </c>
      <c r="C48" s="49">
        <f>IF(D11="","-",+C47+1)</f>
        <v>2048</v>
      </c>
      <c r="D48" s="54">
        <f>IF(F47+SUM(E$17:E47)=D$10,F47,D$10-SUM(E$17:E47))</f>
        <v>171558.67779234995</v>
      </c>
      <c r="E48" s="377">
        <f t="shared" si="25"/>
        <v>171558.67779234995</v>
      </c>
      <c r="F48" s="54">
        <f t="shared" si="21"/>
        <v>0</v>
      </c>
      <c r="G48" s="378">
        <f t="shared" si="22"/>
        <v>181376.11690156072</v>
      </c>
      <c r="H48" s="359">
        <f t="shared" si="23"/>
        <v>181376.11690156072</v>
      </c>
      <c r="I48" s="51">
        <f t="shared" si="6"/>
        <v>0</v>
      </c>
      <c r="J48" s="51"/>
      <c r="K48" s="112"/>
      <c r="L48" s="53">
        <f t="shared" si="24"/>
        <v>0</v>
      </c>
      <c r="M48" s="112"/>
      <c r="N48" s="53">
        <f t="shared" si="4"/>
        <v>0</v>
      </c>
      <c r="O48" s="53">
        <f t="shared" si="5"/>
        <v>0</v>
      </c>
      <c r="P48" s="1"/>
      <c r="R48" s="1"/>
      <c r="S48" s="1"/>
      <c r="T48" s="1"/>
      <c r="U48" s="1"/>
    </row>
    <row r="49" spans="2:21">
      <c r="B49" t="str">
        <f t="shared" si="0"/>
        <v/>
      </c>
      <c r="C49" s="49">
        <f>IF(D11="","-",+C48+1)</f>
        <v>2049</v>
      </c>
      <c r="D49" s="54">
        <f>IF(F48+SUM(E$17:E48)=D$10,F48,D$10-SUM(E$17:E48))</f>
        <v>0</v>
      </c>
      <c r="E49" s="377">
        <f t="shared" si="25"/>
        <v>0</v>
      </c>
      <c r="F49" s="54">
        <f t="shared" si="21"/>
        <v>0</v>
      </c>
      <c r="G49" s="378">
        <f t="shared" si="22"/>
        <v>0</v>
      </c>
      <c r="H49" s="359">
        <f t="shared" si="23"/>
        <v>0</v>
      </c>
      <c r="I49" s="51">
        <f t="shared" si="6"/>
        <v>0</v>
      </c>
      <c r="J49" s="51"/>
      <c r="K49" s="112"/>
      <c r="L49" s="53">
        <f t="shared" si="24"/>
        <v>0</v>
      </c>
      <c r="M49" s="112"/>
      <c r="N49" s="53">
        <f t="shared" si="4"/>
        <v>0</v>
      </c>
      <c r="O49" s="53">
        <f t="shared" si="5"/>
        <v>0</v>
      </c>
      <c r="P49" s="1"/>
      <c r="R49" s="1"/>
      <c r="S49" s="1"/>
      <c r="T49" s="1"/>
      <c r="U49" s="1"/>
    </row>
    <row r="50" spans="2:21">
      <c r="B50" t="str">
        <f t="shared" si="0"/>
        <v/>
      </c>
      <c r="C50" s="49">
        <f>IF(D11="","-",+C49+1)</f>
        <v>2050</v>
      </c>
      <c r="D50" s="54">
        <f>IF(F49+SUM(E$17:E49)=D$10,F49,D$10-SUM(E$17:E49))</f>
        <v>0</v>
      </c>
      <c r="E50" s="377">
        <f t="shared" si="25"/>
        <v>0</v>
      </c>
      <c r="F50" s="54">
        <f t="shared" si="21"/>
        <v>0</v>
      </c>
      <c r="G50" s="378">
        <f t="shared" si="22"/>
        <v>0</v>
      </c>
      <c r="H50" s="359">
        <f t="shared" si="23"/>
        <v>0</v>
      </c>
      <c r="I50" s="51">
        <f t="shared" si="6"/>
        <v>0</v>
      </c>
      <c r="J50" s="51"/>
      <c r="K50" s="112"/>
      <c r="L50" s="53">
        <f t="shared" si="24"/>
        <v>0</v>
      </c>
      <c r="M50" s="112"/>
      <c r="N50" s="53">
        <f t="shared" si="4"/>
        <v>0</v>
      </c>
      <c r="O50" s="53">
        <f t="shared" si="5"/>
        <v>0</v>
      </c>
      <c r="P50" s="1"/>
      <c r="R50" s="1"/>
      <c r="S50" s="1"/>
      <c r="T50" s="1"/>
      <c r="U50" s="1"/>
    </row>
    <row r="51" spans="2:21">
      <c r="B51" t="str">
        <f t="shared" si="0"/>
        <v/>
      </c>
      <c r="C51" s="49">
        <f>IF(D11="","-",+C50+1)</f>
        <v>2051</v>
      </c>
      <c r="D51" s="54">
        <f>IF(F50+SUM(E$17:E50)=D$10,F50,D$10-SUM(E$17:E50))</f>
        <v>0</v>
      </c>
      <c r="E51" s="377">
        <f t="shared" si="25"/>
        <v>0</v>
      </c>
      <c r="F51" s="54">
        <f t="shared" si="21"/>
        <v>0</v>
      </c>
      <c r="G51" s="378">
        <f t="shared" si="22"/>
        <v>0</v>
      </c>
      <c r="H51" s="359">
        <f t="shared" si="23"/>
        <v>0</v>
      </c>
      <c r="I51" s="51">
        <f t="shared" si="6"/>
        <v>0</v>
      </c>
      <c r="J51" s="51"/>
      <c r="K51" s="112"/>
      <c r="L51" s="53">
        <f t="shared" si="24"/>
        <v>0</v>
      </c>
      <c r="M51" s="112"/>
      <c r="N51" s="53">
        <f t="shared" si="4"/>
        <v>0</v>
      </c>
      <c r="O51" s="53">
        <f t="shared" si="5"/>
        <v>0</v>
      </c>
      <c r="P51" s="1"/>
      <c r="R51" s="1"/>
      <c r="S51" s="1"/>
      <c r="T51" s="1"/>
      <c r="U51" s="1"/>
    </row>
    <row r="52" spans="2:21">
      <c r="B52" t="str">
        <f t="shared" si="0"/>
        <v/>
      </c>
      <c r="C52" s="49">
        <f>IF(D11="","-",+C51+1)</f>
        <v>2052</v>
      </c>
      <c r="D52" s="54">
        <f>IF(F51+SUM(E$17:E51)=D$10,F51,D$10-SUM(E$17:E51))</f>
        <v>0</v>
      </c>
      <c r="E52" s="377">
        <f t="shared" si="25"/>
        <v>0</v>
      </c>
      <c r="F52" s="54">
        <f t="shared" si="21"/>
        <v>0</v>
      </c>
      <c r="G52" s="378">
        <f t="shared" si="22"/>
        <v>0</v>
      </c>
      <c r="H52" s="359">
        <f t="shared" si="23"/>
        <v>0</v>
      </c>
      <c r="I52" s="51">
        <f t="shared" si="6"/>
        <v>0</v>
      </c>
      <c r="J52" s="51"/>
      <c r="K52" s="112"/>
      <c r="L52" s="53">
        <f t="shared" si="24"/>
        <v>0</v>
      </c>
      <c r="M52" s="112"/>
      <c r="N52" s="53">
        <f t="shared" si="4"/>
        <v>0</v>
      </c>
      <c r="O52" s="53">
        <f t="shared" si="5"/>
        <v>0</v>
      </c>
      <c r="P52" s="1"/>
      <c r="R52" s="1"/>
      <c r="S52" s="1"/>
      <c r="T52" s="1"/>
      <c r="U52" s="1"/>
    </row>
    <row r="53" spans="2:21">
      <c r="B53" t="str">
        <f t="shared" si="0"/>
        <v/>
      </c>
      <c r="C53" s="49">
        <f>IF(D11="","-",+C52+1)</f>
        <v>2053</v>
      </c>
      <c r="D53" s="54">
        <f>IF(F52+SUM(E$17:E52)=D$10,F52,D$10-SUM(E$17:E52))</f>
        <v>0</v>
      </c>
      <c r="E53" s="377">
        <f t="shared" si="25"/>
        <v>0</v>
      </c>
      <c r="F53" s="54">
        <f t="shared" si="21"/>
        <v>0</v>
      </c>
      <c r="G53" s="378">
        <f t="shared" si="22"/>
        <v>0</v>
      </c>
      <c r="H53" s="359">
        <f t="shared" si="23"/>
        <v>0</v>
      </c>
      <c r="I53" s="51">
        <f t="shared" si="6"/>
        <v>0</v>
      </c>
      <c r="J53" s="51"/>
      <c r="K53" s="112"/>
      <c r="L53" s="53">
        <f t="shared" si="24"/>
        <v>0</v>
      </c>
      <c r="M53" s="112"/>
      <c r="N53" s="53">
        <f t="shared" si="4"/>
        <v>0</v>
      </c>
      <c r="O53" s="53">
        <f t="shared" si="5"/>
        <v>0</v>
      </c>
      <c r="P53" s="1"/>
      <c r="R53" s="1"/>
      <c r="S53" s="1"/>
      <c r="T53" s="1"/>
      <c r="U53" s="1"/>
    </row>
    <row r="54" spans="2:21">
      <c r="B54" t="str">
        <f t="shared" si="0"/>
        <v/>
      </c>
      <c r="C54" s="49">
        <f>IF(D11="","-",+C53+1)</f>
        <v>2054</v>
      </c>
      <c r="D54" s="54">
        <f>IF(F53+SUM(E$17:E53)=D$10,F53,D$10-SUM(E$17:E53))</f>
        <v>0</v>
      </c>
      <c r="E54" s="377">
        <f t="shared" si="25"/>
        <v>0</v>
      </c>
      <c r="F54" s="54">
        <f t="shared" si="21"/>
        <v>0</v>
      </c>
      <c r="G54" s="378">
        <f t="shared" si="22"/>
        <v>0</v>
      </c>
      <c r="H54" s="359">
        <f t="shared" si="23"/>
        <v>0</v>
      </c>
      <c r="I54" s="51">
        <f t="shared" si="6"/>
        <v>0</v>
      </c>
      <c r="J54" s="51"/>
      <c r="K54" s="112"/>
      <c r="L54" s="53">
        <f t="shared" si="24"/>
        <v>0</v>
      </c>
      <c r="M54" s="112"/>
      <c r="N54" s="53">
        <f t="shared" si="4"/>
        <v>0</v>
      </c>
      <c r="O54" s="53">
        <f t="shared" si="5"/>
        <v>0</v>
      </c>
      <c r="P54" s="1"/>
      <c r="R54" s="1"/>
      <c r="S54" s="1"/>
      <c r="T54" s="1"/>
      <c r="U54" s="1"/>
    </row>
    <row r="55" spans="2:21">
      <c r="B55" t="str">
        <f t="shared" si="0"/>
        <v/>
      </c>
      <c r="C55" s="49">
        <f>IF(D11="","-",+C54+1)</f>
        <v>2055</v>
      </c>
      <c r="D55" s="54">
        <f>IF(F54+SUM(E$17:E54)=D$10,F54,D$10-SUM(E$17:E54))</f>
        <v>0</v>
      </c>
      <c r="E55" s="377">
        <f t="shared" si="25"/>
        <v>0</v>
      </c>
      <c r="F55" s="54">
        <f t="shared" si="21"/>
        <v>0</v>
      </c>
      <c r="G55" s="378">
        <f t="shared" si="22"/>
        <v>0</v>
      </c>
      <c r="H55" s="359">
        <f t="shared" si="23"/>
        <v>0</v>
      </c>
      <c r="I55" s="51">
        <f t="shared" si="6"/>
        <v>0</v>
      </c>
      <c r="J55" s="51"/>
      <c r="K55" s="112"/>
      <c r="L55" s="53">
        <f t="shared" si="24"/>
        <v>0</v>
      </c>
      <c r="M55" s="112"/>
      <c r="N55" s="53">
        <f t="shared" si="4"/>
        <v>0</v>
      </c>
      <c r="O55" s="53">
        <f t="shared" si="5"/>
        <v>0</v>
      </c>
      <c r="P55" s="1"/>
      <c r="R55" s="1"/>
      <c r="S55" s="1"/>
      <c r="T55" s="1"/>
      <c r="U55" s="1"/>
    </row>
    <row r="56" spans="2:21">
      <c r="B56" t="str">
        <f t="shared" si="0"/>
        <v/>
      </c>
      <c r="C56" s="49">
        <f>IF(D11="","-",+C55+1)</f>
        <v>2056</v>
      </c>
      <c r="D56" s="54">
        <f>IF(F55+SUM(E$17:E55)=D$10,F55,D$10-SUM(E$17:E55))</f>
        <v>0</v>
      </c>
      <c r="E56" s="377">
        <f t="shared" si="25"/>
        <v>0</v>
      </c>
      <c r="F56" s="54">
        <f t="shared" si="21"/>
        <v>0</v>
      </c>
      <c r="G56" s="378">
        <f t="shared" si="22"/>
        <v>0</v>
      </c>
      <c r="H56" s="359">
        <f t="shared" si="23"/>
        <v>0</v>
      </c>
      <c r="I56" s="51">
        <f t="shared" si="6"/>
        <v>0</v>
      </c>
      <c r="J56" s="51"/>
      <c r="K56" s="112"/>
      <c r="L56" s="53">
        <f t="shared" si="24"/>
        <v>0</v>
      </c>
      <c r="M56" s="112"/>
      <c r="N56" s="53">
        <f t="shared" si="4"/>
        <v>0</v>
      </c>
      <c r="O56" s="53">
        <f t="shared" si="5"/>
        <v>0</v>
      </c>
      <c r="P56" s="1"/>
      <c r="R56" s="1"/>
      <c r="S56" s="1"/>
      <c r="T56" s="1"/>
      <c r="U56" s="1"/>
    </row>
    <row r="57" spans="2:21">
      <c r="B57" t="str">
        <f t="shared" si="0"/>
        <v/>
      </c>
      <c r="C57" s="49">
        <f>IF(D11="","-",+C56+1)</f>
        <v>2057</v>
      </c>
      <c r="D57" s="54">
        <f>IF(F56+SUM(E$17:E56)=D$10,F56,D$10-SUM(E$17:E56))</f>
        <v>0</v>
      </c>
      <c r="E57" s="377">
        <f t="shared" si="25"/>
        <v>0</v>
      </c>
      <c r="F57" s="54">
        <f t="shared" si="21"/>
        <v>0</v>
      </c>
      <c r="G57" s="378">
        <f t="shared" si="22"/>
        <v>0</v>
      </c>
      <c r="H57" s="359">
        <f t="shared" si="23"/>
        <v>0</v>
      </c>
      <c r="I57" s="51">
        <f t="shared" si="6"/>
        <v>0</v>
      </c>
      <c r="J57" s="51"/>
      <c r="K57" s="112"/>
      <c r="L57" s="53">
        <f t="shared" si="24"/>
        <v>0</v>
      </c>
      <c r="M57" s="112"/>
      <c r="N57" s="53">
        <f t="shared" si="4"/>
        <v>0</v>
      </c>
      <c r="O57" s="53">
        <f t="shared" si="5"/>
        <v>0</v>
      </c>
      <c r="P57" s="1"/>
      <c r="R57" s="1"/>
      <c r="S57" s="1"/>
      <c r="T57" s="1"/>
      <c r="U57" s="1"/>
    </row>
    <row r="58" spans="2:21">
      <c r="B58" t="str">
        <f t="shared" si="0"/>
        <v/>
      </c>
      <c r="C58" s="49">
        <f>IF(D11="","-",+C57+1)</f>
        <v>2058</v>
      </c>
      <c r="D58" s="54">
        <f>IF(F57+SUM(E$17:E57)=D$10,F57,D$10-SUM(E$17:E57))</f>
        <v>0</v>
      </c>
      <c r="E58" s="377">
        <f t="shared" si="25"/>
        <v>0</v>
      </c>
      <c r="F58" s="54">
        <f t="shared" si="21"/>
        <v>0</v>
      </c>
      <c r="G58" s="378">
        <f t="shared" si="22"/>
        <v>0</v>
      </c>
      <c r="H58" s="359">
        <f t="shared" si="23"/>
        <v>0</v>
      </c>
      <c r="I58" s="51">
        <f t="shared" si="6"/>
        <v>0</v>
      </c>
      <c r="J58" s="51"/>
      <c r="K58" s="112"/>
      <c r="L58" s="53">
        <f t="shared" si="24"/>
        <v>0</v>
      </c>
      <c r="M58" s="112"/>
      <c r="N58" s="53">
        <f t="shared" si="4"/>
        <v>0</v>
      </c>
      <c r="O58" s="53">
        <f t="shared" si="5"/>
        <v>0</v>
      </c>
      <c r="P58" s="1"/>
      <c r="R58" s="1"/>
      <c r="S58" s="1"/>
      <c r="T58" s="1"/>
      <c r="U58" s="1"/>
    </row>
    <row r="59" spans="2:21">
      <c r="B59" t="str">
        <f t="shared" si="0"/>
        <v/>
      </c>
      <c r="C59" s="49">
        <f>IF(D11="","-",+C58+1)</f>
        <v>2059</v>
      </c>
      <c r="D59" s="54">
        <f>IF(F58+SUM(E$17:E58)=D$10,F58,D$10-SUM(E$17:E58))</f>
        <v>0</v>
      </c>
      <c r="E59" s="377">
        <f t="shared" si="25"/>
        <v>0</v>
      </c>
      <c r="F59" s="54">
        <f t="shared" si="21"/>
        <v>0</v>
      </c>
      <c r="G59" s="378">
        <f t="shared" si="22"/>
        <v>0</v>
      </c>
      <c r="H59" s="359">
        <f t="shared" si="23"/>
        <v>0</v>
      </c>
      <c r="I59" s="51">
        <f t="shared" si="6"/>
        <v>0</v>
      </c>
      <c r="J59" s="51"/>
      <c r="K59" s="112"/>
      <c r="L59" s="53">
        <f t="shared" si="24"/>
        <v>0</v>
      </c>
      <c r="M59" s="112"/>
      <c r="N59" s="53">
        <f t="shared" si="4"/>
        <v>0</v>
      </c>
      <c r="O59" s="53">
        <f t="shared" si="5"/>
        <v>0</v>
      </c>
      <c r="P59" s="1"/>
      <c r="R59" s="1"/>
      <c r="S59" s="1"/>
      <c r="T59" s="1"/>
      <c r="U59" s="1"/>
    </row>
    <row r="60" spans="2:21">
      <c r="B60" t="str">
        <f t="shared" si="0"/>
        <v/>
      </c>
      <c r="C60" s="49">
        <f>IF(D11="","-",+C59+1)</f>
        <v>2060</v>
      </c>
      <c r="D60" s="54">
        <f>IF(F59+SUM(E$17:E59)=D$10,F59,D$10-SUM(E$17:E59))</f>
        <v>0</v>
      </c>
      <c r="E60" s="377">
        <f t="shared" si="25"/>
        <v>0</v>
      </c>
      <c r="F60" s="54">
        <f t="shared" si="21"/>
        <v>0</v>
      </c>
      <c r="G60" s="378">
        <f t="shared" si="22"/>
        <v>0</v>
      </c>
      <c r="H60" s="359">
        <f t="shared" si="23"/>
        <v>0</v>
      </c>
      <c r="I60" s="51">
        <f t="shared" si="6"/>
        <v>0</v>
      </c>
      <c r="J60" s="51"/>
      <c r="K60" s="112"/>
      <c r="L60" s="53">
        <f t="shared" si="24"/>
        <v>0</v>
      </c>
      <c r="M60" s="112"/>
      <c r="N60" s="53">
        <f t="shared" si="4"/>
        <v>0</v>
      </c>
      <c r="O60" s="53">
        <f t="shared" si="5"/>
        <v>0</v>
      </c>
      <c r="P60" s="1"/>
      <c r="R60" s="1"/>
      <c r="S60" s="1"/>
      <c r="T60" s="1"/>
      <c r="U60" s="1"/>
    </row>
    <row r="61" spans="2:21">
      <c r="B61" t="str">
        <f t="shared" si="0"/>
        <v/>
      </c>
      <c r="C61" s="49">
        <f>IF(D11="","-",+C60+1)</f>
        <v>2061</v>
      </c>
      <c r="D61" s="54">
        <f>IF(F60+SUM(E$17:E60)=D$10,F60,D$10-SUM(E$17:E60))</f>
        <v>0</v>
      </c>
      <c r="E61" s="377">
        <f t="shared" si="25"/>
        <v>0</v>
      </c>
      <c r="F61" s="54">
        <f t="shared" si="21"/>
        <v>0</v>
      </c>
      <c r="G61" s="378">
        <f t="shared" si="22"/>
        <v>0</v>
      </c>
      <c r="H61" s="359">
        <f t="shared" si="23"/>
        <v>0</v>
      </c>
      <c r="I61" s="51">
        <f t="shared" si="6"/>
        <v>0</v>
      </c>
      <c r="J61" s="51"/>
      <c r="K61" s="112"/>
      <c r="L61" s="53">
        <f t="shared" si="24"/>
        <v>0</v>
      </c>
      <c r="M61" s="112"/>
      <c r="N61" s="53">
        <f t="shared" si="4"/>
        <v>0</v>
      </c>
      <c r="O61" s="53">
        <f t="shared" si="5"/>
        <v>0</v>
      </c>
      <c r="P61" s="1"/>
      <c r="R61" s="1"/>
      <c r="S61" s="1"/>
      <c r="T61" s="1"/>
      <c r="U61" s="1"/>
    </row>
    <row r="62" spans="2:21">
      <c r="B62" t="str">
        <f t="shared" si="0"/>
        <v/>
      </c>
      <c r="C62" s="49">
        <f>IF(D11="","-",+C61+1)</f>
        <v>2062</v>
      </c>
      <c r="D62" s="54">
        <f>IF(F61+SUM(E$17:E61)=D$10,F61,D$10-SUM(E$17:E61))</f>
        <v>0</v>
      </c>
      <c r="E62" s="377">
        <f t="shared" si="25"/>
        <v>0</v>
      </c>
      <c r="F62" s="54">
        <f t="shared" si="21"/>
        <v>0</v>
      </c>
      <c r="G62" s="378">
        <f t="shared" si="22"/>
        <v>0</v>
      </c>
      <c r="H62" s="359">
        <f t="shared" si="23"/>
        <v>0</v>
      </c>
      <c r="I62" s="51">
        <f t="shared" si="6"/>
        <v>0</v>
      </c>
      <c r="J62" s="51"/>
      <c r="K62" s="112"/>
      <c r="L62" s="53">
        <f t="shared" si="24"/>
        <v>0</v>
      </c>
      <c r="M62" s="112"/>
      <c r="N62" s="53">
        <f t="shared" si="4"/>
        <v>0</v>
      </c>
      <c r="O62" s="53">
        <f t="shared" si="5"/>
        <v>0</v>
      </c>
      <c r="P62" s="1"/>
      <c r="R62" s="1"/>
      <c r="S62" s="1"/>
      <c r="T62" s="1"/>
      <c r="U62" s="1"/>
    </row>
    <row r="63" spans="2:21">
      <c r="B63" t="str">
        <f t="shared" si="0"/>
        <v/>
      </c>
      <c r="C63" s="49">
        <f>IF(D11="","-",+C62+1)</f>
        <v>2063</v>
      </c>
      <c r="D63" s="54">
        <f>IF(F62+SUM(E$17:E62)=D$10,F62,D$10-SUM(E$17:E62))</f>
        <v>0</v>
      </c>
      <c r="E63" s="377">
        <f t="shared" si="25"/>
        <v>0</v>
      </c>
      <c r="F63" s="54">
        <f t="shared" si="21"/>
        <v>0</v>
      </c>
      <c r="G63" s="378">
        <f t="shared" si="22"/>
        <v>0</v>
      </c>
      <c r="H63" s="359">
        <f t="shared" si="23"/>
        <v>0</v>
      </c>
      <c r="I63" s="51">
        <f t="shared" si="6"/>
        <v>0</v>
      </c>
      <c r="J63" s="51"/>
      <c r="K63" s="112"/>
      <c r="L63" s="53">
        <f t="shared" si="24"/>
        <v>0</v>
      </c>
      <c r="M63" s="112"/>
      <c r="N63" s="53">
        <f t="shared" si="4"/>
        <v>0</v>
      </c>
      <c r="O63" s="53">
        <f t="shared" si="5"/>
        <v>0</v>
      </c>
      <c r="P63" s="1"/>
      <c r="R63" s="1"/>
      <c r="S63" s="1"/>
      <c r="T63" s="1"/>
      <c r="U63" s="1"/>
    </row>
    <row r="64" spans="2:21">
      <c r="B64" t="str">
        <f t="shared" si="0"/>
        <v/>
      </c>
      <c r="C64" s="49">
        <f>IF(D11="","-",+C63+1)</f>
        <v>2064</v>
      </c>
      <c r="D64" s="54">
        <f>IF(F63+SUM(E$17:E63)=D$10,F63,D$10-SUM(E$17:E63))</f>
        <v>0</v>
      </c>
      <c r="E64" s="377">
        <f t="shared" si="25"/>
        <v>0</v>
      </c>
      <c r="F64" s="54">
        <f t="shared" si="21"/>
        <v>0</v>
      </c>
      <c r="G64" s="378">
        <f t="shared" si="22"/>
        <v>0</v>
      </c>
      <c r="H64" s="359">
        <f t="shared" si="23"/>
        <v>0</v>
      </c>
      <c r="I64" s="51">
        <f t="shared" si="6"/>
        <v>0</v>
      </c>
      <c r="J64" s="51"/>
      <c r="K64" s="112"/>
      <c r="L64" s="53">
        <f t="shared" si="24"/>
        <v>0</v>
      </c>
      <c r="M64" s="112"/>
      <c r="N64" s="53">
        <f t="shared" si="4"/>
        <v>0</v>
      </c>
      <c r="O64" s="53">
        <f t="shared" si="5"/>
        <v>0</v>
      </c>
      <c r="P64" s="1"/>
      <c r="R64" s="1"/>
      <c r="S64" s="1"/>
      <c r="T64" s="1"/>
      <c r="U64" s="1"/>
    </row>
    <row r="65" spans="2:21">
      <c r="B65" t="str">
        <f t="shared" si="0"/>
        <v/>
      </c>
      <c r="C65" s="49">
        <f>IF(D11="","-",+C64+1)</f>
        <v>2065</v>
      </c>
      <c r="D65" s="54">
        <f>IF(F64+SUM(E$17:E64)=D$10,F64,D$10-SUM(E$17:E64))</f>
        <v>0</v>
      </c>
      <c r="E65" s="377">
        <f t="shared" si="25"/>
        <v>0</v>
      </c>
      <c r="F65" s="54">
        <f t="shared" si="21"/>
        <v>0</v>
      </c>
      <c r="G65" s="378">
        <f t="shared" si="22"/>
        <v>0</v>
      </c>
      <c r="H65" s="359">
        <f t="shared" si="23"/>
        <v>0</v>
      </c>
      <c r="I65" s="51">
        <f t="shared" si="6"/>
        <v>0</v>
      </c>
      <c r="J65" s="51"/>
      <c r="K65" s="112"/>
      <c r="L65" s="53">
        <f t="shared" si="24"/>
        <v>0</v>
      </c>
      <c r="M65" s="112"/>
      <c r="N65" s="53">
        <f t="shared" si="4"/>
        <v>0</v>
      </c>
      <c r="O65" s="53">
        <f t="shared" si="5"/>
        <v>0</v>
      </c>
      <c r="P65" s="1"/>
      <c r="R65" s="1"/>
      <c r="S65" s="1"/>
      <c r="T65" s="1"/>
      <c r="U65" s="1"/>
    </row>
    <row r="66" spans="2:21">
      <c r="B66" t="str">
        <f t="shared" si="0"/>
        <v/>
      </c>
      <c r="C66" s="49">
        <f>IF(D11="","-",+C65+1)</f>
        <v>2066</v>
      </c>
      <c r="D66" s="54">
        <f>IF(F65+SUM(E$17:E65)=D$10,F65,D$10-SUM(E$17:E65))</f>
        <v>0</v>
      </c>
      <c r="E66" s="377">
        <f t="shared" si="25"/>
        <v>0</v>
      </c>
      <c r="F66" s="54">
        <f t="shared" si="21"/>
        <v>0</v>
      </c>
      <c r="G66" s="378">
        <f t="shared" si="22"/>
        <v>0</v>
      </c>
      <c r="H66" s="359">
        <f t="shared" si="23"/>
        <v>0</v>
      </c>
      <c r="I66" s="51">
        <f t="shared" si="6"/>
        <v>0</v>
      </c>
      <c r="J66" s="51"/>
      <c r="K66" s="112"/>
      <c r="L66" s="53">
        <f t="shared" si="24"/>
        <v>0</v>
      </c>
      <c r="M66" s="112"/>
      <c r="N66" s="53">
        <f t="shared" si="4"/>
        <v>0</v>
      </c>
      <c r="O66" s="53">
        <f t="shared" si="5"/>
        <v>0</v>
      </c>
      <c r="P66" s="1"/>
      <c r="R66" s="1"/>
      <c r="S66" s="1"/>
      <c r="T66" s="1"/>
      <c r="U66" s="1"/>
    </row>
    <row r="67" spans="2:21">
      <c r="B67" t="str">
        <f t="shared" si="0"/>
        <v/>
      </c>
      <c r="C67" s="49">
        <f>IF(D11="","-",+C66+1)</f>
        <v>2067</v>
      </c>
      <c r="D67" s="54">
        <f>IF(F66+SUM(E$17:E66)=D$10,F66,D$10-SUM(E$17:E66))</f>
        <v>0</v>
      </c>
      <c r="E67" s="377">
        <f t="shared" si="25"/>
        <v>0</v>
      </c>
      <c r="F67" s="54">
        <f t="shared" si="21"/>
        <v>0</v>
      </c>
      <c r="G67" s="378">
        <f t="shared" si="22"/>
        <v>0</v>
      </c>
      <c r="H67" s="359">
        <f t="shared" si="23"/>
        <v>0</v>
      </c>
      <c r="I67" s="51">
        <f t="shared" si="6"/>
        <v>0</v>
      </c>
      <c r="J67" s="51"/>
      <c r="K67" s="112"/>
      <c r="L67" s="53">
        <f t="shared" si="24"/>
        <v>0</v>
      </c>
      <c r="M67" s="112"/>
      <c r="N67" s="53">
        <f t="shared" si="4"/>
        <v>0</v>
      </c>
      <c r="O67" s="53">
        <f t="shared" si="5"/>
        <v>0</v>
      </c>
      <c r="P67" s="1"/>
      <c r="R67" s="1"/>
      <c r="S67" s="1"/>
      <c r="T67" s="1"/>
      <c r="U67" s="1"/>
    </row>
    <row r="68" spans="2:21">
      <c r="B68" t="str">
        <f t="shared" si="0"/>
        <v/>
      </c>
      <c r="C68" s="49">
        <f>IF(D11="","-",+C67+1)</f>
        <v>2068</v>
      </c>
      <c r="D68" s="54">
        <f>IF(F67+SUM(E$17:E67)=D$10,F67,D$10-SUM(E$17:E67))</f>
        <v>0</v>
      </c>
      <c r="E68" s="377">
        <f t="shared" si="25"/>
        <v>0</v>
      </c>
      <c r="F68" s="54">
        <f t="shared" si="21"/>
        <v>0</v>
      </c>
      <c r="G68" s="378">
        <f t="shared" si="22"/>
        <v>0</v>
      </c>
      <c r="H68" s="359">
        <f t="shared" si="23"/>
        <v>0</v>
      </c>
      <c r="I68" s="51">
        <f t="shared" si="6"/>
        <v>0</v>
      </c>
      <c r="J68" s="51"/>
      <c r="K68" s="112"/>
      <c r="L68" s="53">
        <f t="shared" si="24"/>
        <v>0</v>
      </c>
      <c r="M68" s="112"/>
      <c r="N68" s="53">
        <f t="shared" si="4"/>
        <v>0</v>
      </c>
      <c r="O68" s="53">
        <f t="shared" si="5"/>
        <v>0</v>
      </c>
      <c r="P68" s="1"/>
      <c r="R68" s="1"/>
      <c r="S68" s="1"/>
      <c r="T68" s="1"/>
      <c r="U68" s="1"/>
    </row>
    <row r="69" spans="2:21">
      <c r="B69" t="str">
        <f t="shared" si="0"/>
        <v/>
      </c>
      <c r="C69" s="49">
        <f>IF(D11="","-",+C68+1)</f>
        <v>2069</v>
      </c>
      <c r="D69" s="54">
        <f>IF(F68+SUM(E$17:E68)=D$10,F68,D$10-SUM(E$17:E68))</f>
        <v>0</v>
      </c>
      <c r="E69" s="377">
        <f t="shared" si="25"/>
        <v>0</v>
      </c>
      <c r="F69" s="54">
        <f t="shared" si="21"/>
        <v>0</v>
      </c>
      <c r="G69" s="378">
        <f t="shared" si="22"/>
        <v>0</v>
      </c>
      <c r="H69" s="359">
        <f t="shared" si="23"/>
        <v>0</v>
      </c>
      <c r="I69" s="51">
        <f t="shared" si="6"/>
        <v>0</v>
      </c>
      <c r="J69" s="51"/>
      <c r="K69" s="112"/>
      <c r="L69" s="53">
        <f t="shared" si="24"/>
        <v>0</v>
      </c>
      <c r="M69" s="112"/>
      <c r="N69" s="53">
        <f t="shared" si="4"/>
        <v>0</v>
      </c>
      <c r="O69" s="53">
        <f t="shared" si="5"/>
        <v>0</v>
      </c>
      <c r="P69" s="1"/>
      <c r="R69" s="1"/>
      <c r="S69" s="1"/>
      <c r="T69" s="1"/>
      <c r="U69" s="1"/>
    </row>
    <row r="70" spans="2:21">
      <c r="B70" t="str">
        <f t="shared" si="0"/>
        <v/>
      </c>
      <c r="C70" s="49">
        <f>IF(D11="","-",+C69+1)</f>
        <v>2070</v>
      </c>
      <c r="D70" s="54">
        <f>IF(F69+SUM(E$17:E69)=D$10,F69,D$10-SUM(E$17:E69))</f>
        <v>0</v>
      </c>
      <c r="E70" s="377">
        <f t="shared" si="25"/>
        <v>0</v>
      </c>
      <c r="F70" s="54">
        <f t="shared" si="21"/>
        <v>0</v>
      </c>
      <c r="G70" s="378">
        <f t="shared" si="22"/>
        <v>0</v>
      </c>
      <c r="H70" s="359">
        <f t="shared" si="23"/>
        <v>0</v>
      </c>
      <c r="I70" s="51">
        <f t="shared" si="6"/>
        <v>0</v>
      </c>
      <c r="J70" s="51"/>
      <c r="K70" s="112"/>
      <c r="L70" s="53">
        <f t="shared" si="24"/>
        <v>0</v>
      </c>
      <c r="M70" s="112"/>
      <c r="N70" s="53">
        <f t="shared" si="4"/>
        <v>0</v>
      </c>
      <c r="O70" s="53">
        <f t="shared" si="5"/>
        <v>0</v>
      </c>
      <c r="P70" s="1"/>
      <c r="R70" s="1"/>
      <c r="S70" s="1"/>
      <c r="T70" s="1"/>
      <c r="U70" s="1"/>
    </row>
    <row r="71" spans="2:21">
      <c r="B71" t="str">
        <f t="shared" si="0"/>
        <v/>
      </c>
      <c r="C71" s="49">
        <f>IF(D11="","-",+C70+1)</f>
        <v>2071</v>
      </c>
      <c r="D71" s="54">
        <f>IF(F70+SUM(E$17:E70)=D$10,F70,D$10-SUM(E$17:E70))</f>
        <v>0</v>
      </c>
      <c r="E71" s="377">
        <f t="shared" si="25"/>
        <v>0</v>
      </c>
      <c r="F71" s="54">
        <f t="shared" si="21"/>
        <v>0</v>
      </c>
      <c r="G71" s="378">
        <f t="shared" si="22"/>
        <v>0</v>
      </c>
      <c r="H71" s="359">
        <f t="shared" si="23"/>
        <v>0</v>
      </c>
      <c r="I71" s="51">
        <f t="shared" si="6"/>
        <v>0</v>
      </c>
      <c r="J71" s="51"/>
      <c r="K71" s="112"/>
      <c r="L71" s="53">
        <f t="shared" si="24"/>
        <v>0</v>
      </c>
      <c r="M71" s="112"/>
      <c r="N71" s="53">
        <f t="shared" si="4"/>
        <v>0</v>
      </c>
      <c r="O71" s="53">
        <f t="shared" si="5"/>
        <v>0</v>
      </c>
      <c r="P71" s="1"/>
      <c r="R71" s="1"/>
      <c r="S71" s="1"/>
      <c r="T71" s="1"/>
      <c r="U71" s="1"/>
    </row>
    <row r="72" spans="2:21">
      <c r="B72" t="str">
        <f t="shared" si="0"/>
        <v/>
      </c>
      <c r="C72" s="49">
        <f>IF(D11="","-",+C71+1)</f>
        <v>2072</v>
      </c>
      <c r="D72" s="54">
        <f>IF(F71+SUM(E$17:E71)=D$10,F71,D$10-SUM(E$17:E71))</f>
        <v>0</v>
      </c>
      <c r="E72" s="377">
        <f t="shared" si="25"/>
        <v>0</v>
      </c>
      <c r="F72" s="54">
        <f t="shared" si="21"/>
        <v>0</v>
      </c>
      <c r="G72" s="378">
        <f t="shared" si="22"/>
        <v>0</v>
      </c>
      <c r="H72" s="359">
        <f t="shared" si="23"/>
        <v>0</v>
      </c>
      <c r="I72" s="51">
        <f t="shared" si="6"/>
        <v>0</v>
      </c>
      <c r="J72" s="51"/>
      <c r="K72" s="112"/>
      <c r="L72" s="53">
        <f t="shared" si="24"/>
        <v>0</v>
      </c>
      <c r="M72" s="112"/>
      <c r="N72" s="53">
        <f t="shared" si="4"/>
        <v>0</v>
      </c>
      <c r="O72" s="53">
        <f t="shared" si="5"/>
        <v>0</v>
      </c>
      <c r="P72" s="1"/>
      <c r="R72" s="1"/>
      <c r="S72" s="1"/>
      <c r="T72" s="1"/>
      <c r="U72" s="1"/>
    </row>
    <row r="73" spans="2:21" ht="13.5" thickBot="1">
      <c r="B73" t="str">
        <f t="shared" si="0"/>
        <v/>
      </c>
      <c r="C73" s="58">
        <f>IF(D11="","-",+C72+1)</f>
        <v>2073</v>
      </c>
      <c r="D73" s="59">
        <f>IF(F72+SUM(E$17:E72)=D$10,F72,D$10-SUM(E$17:E72))</f>
        <v>0</v>
      </c>
      <c r="E73" s="389">
        <f t="shared" si="25"/>
        <v>0</v>
      </c>
      <c r="F73" s="59">
        <f t="shared" si="21"/>
        <v>0</v>
      </c>
      <c r="G73" s="59">
        <f t="shared" si="22"/>
        <v>0</v>
      </c>
      <c r="H73" s="59">
        <f t="shared" si="23"/>
        <v>0</v>
      </c>
      <c r="I73" s="62">
        <f t="shared" si="6"/>
        <v>0</v>
      </c>
      <c r="J73" s="51"/>
      <c r="K73" s="113"/>
      <c r="L73" s="63">
        <f t="shared" si="24"/>
        <v>0</v>
      </c>
      <c r="M73" s="113"/>
      <c r="N73" s="63">
        <f t="shared" si="4"/>
        <v>0</v>
      </c>
      <c r="O73" s="63">
        <f t="shared" si="5"/>
        <v>0</v>
      </c>
      <c r="P73" s="1"/>
      <c r="R73" s="1"/>
      <c r="S73" s="1"/>
      <c r="T73" s="1"/>
      <c r="U73" s="1"/>
    </row>
    <row r="74" spans="2:21">
      <c r="C74" s="11" t="s">
        <v>75</v>
      </c>
      <c r="D74" s="242"/>
      <c r="E74" s="242">
        <f>SUM(E17:E73)</f>
        <v>11056565.359999999</v>
      </c>
      <c r="F74" s="242"/>
      <c r="G74" s="242">
        <f>SUM(G17:G73)</f>
        <v>30639618.375174619</v>
      </c>
      <c r="H74" s="242">
        <f>SUM(H17:H73)</f>
        <v>30639618.375174619</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15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1337254.3839560486</v>
      </c>
      <c r="N88" s="396">
        <f>IF(J93&lt;D11,0,VLOOKUP(J93,C17:O73,11))</f>
        <v>1337254.3839560486</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1193089.171915214</v>
      </c>
      <c r="N89" s="399">
        <f>IF(J93&lt;D11,0,VLOOKUP(J93,C100:P155,7))</f>
        <v>1193089.171915214</v>
      </c>
      <c r="O89" s="70">
        <f>+N89-M89</f>
        <v>0</v>
      </c>
      <c r="P89" s="1"/>
      <c r="Q89" s="1"/>
      <c r="R89" s="1"/>
      <c r="S89" s="1"/>
      <c r="T89" s="1"/>
      <c r="U89" s="1"/>
    </row>
    <row r="90" spans="1:21" ht="13.5" thickBot="1">
      <c r="C90" s="25" t="s">
        <v>82</v>
      </c>
      <c r="D90" s="96" t="str">
        <f>+D7</f>
        <v>Darlington Roman Nose 138 kv</v>
      </c>
      <c r="E90" s="1"/>
      <c r="F90" s="1"/>
      <c r="G90" s="1"/>
      <c r="H90" s="1"/>
      <c r="I90" s="260"/>
      <c r="J90" s="260"/>
      <c r="K90" s="400"/>
      <c r="L90" s="109" t="s">
        <v>135</v>
      </c>
      <c r="M90" s="401">
        <f>+M89-M88</f>
        <v>-144165.21204083459</v>
      </c>
      <c r="N90" s="401">
        <f>+N89-N88</f>
        <v>-144165.21204083459</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
        <v>261</v>
      </c>
      <c r="E92" s="75" t="s">
        <v>311</v>
      </c>
      <c r="F92" s="527">
        <f>F9</f>
        <v>30619</v>
      </c>
      <c r="G92" s="75"/>
      <c r="H92" s="75"/>
      <c r="I92" s="75"/>
      <c r="J92" s="75"/>
      <c r="Q92" s="1"/>
      <c r="R92" s="1"/>
      <c r="S92" s="1"/>
      <c r="T92" s="1"/>
      <c r="U92" s="1"/>
    </row>
    <row r="93" spans="1:21">
      <c r="C93" s="34" t="s">
        <v>49</v>
      </c>
      <c r="D93" s="424">
        <v>11056565.360000001</v>
      </c>
      <c r="E93" s="1" t="s">
        <v>84</v>
      </c>
      <c r="H93" s="2"/>
      <c r="I93" s="2"/>
      <c r="J93" s="36">
        <f>+'OKT.WS.G.BPU.ATRR.True-up'!M16</f>
        <v>2025</v>
      </c>
      <c r="K93" s="33"/>
      <c r="L93" s="242" t="s">
        <v>85</v>
      </c>
      <c r="P93" s="1"/>
      <c r="Q93" s="1"/>
      <c r="R93" s="1"/>
      <c r="S93" s="1"/>
      <c r="T93" s="1"/>
      <c r="U93" s="1"/>
    </row>
    <row r="94" spans="1:21">
      <c r="C94" s="34" t="s">
        <v>52</v>
      </c>
      <c r="D94" s="453">
        <f>D11</f>
        <v>2017</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424">
        <f>D12</f>
        <v>6</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345517.66750000004</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0" t="s">
        <v>177</v>
      </c>
      <c r="M98" s="365" t="s">
        <v>89</v>
      </c>
      <c r="N98" s="360" t="s">
        <v>177</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B100" t="str">
        <f t="shared" ref="B100:B155" si="26">IF(D100=F99,"","IU")</f>
        <v>IU</v>
      </c>
      <c r="C100" s="49">
        <f>IF(D94= "","-",D94)</f>
        <v>2017</v>
      </c>
      <c r="D100" s="371">
        <v>0</v>
      </c>
      <c r="E100" s="373">
        <v>137920.28750000001</v>
      </c>
      <c r="F100" s="375">
        <v>10895702.7125</v>
      </c>
      <c r="G100" s="375">
        <v>5447851.3562500002</v>
      </c>
      <c r="H100" s="373">
        <v>777148.63448158256</v>
      </c>
      <c r="I100" s="374">
        <v>777148.63448158256</v>
      </c>
      <c r="J100" s="53">
        <f>+I100-H100</f>
        <v>0</v>
      </c>
      <c r="K100" s="53"/>
      <c r="L100" s="376">
        <f>+H100</f>
        <v>777148.63448158256</v>
      </c>
      <c r="M100" s="53">
        <f t="shared" ref="M100:M105" si="27">IF(L100&lt;&gt;0,+H100-L100,0)</f>
        <v>0</v>
      </c>
      <c r="N100" s="376">
        <f>+I100</f>
        <v>777148.63448158256</v>
      </c>
      <c r="O100" s="413">
        <f>IF(N100&lt;&gt;0,+I100-N100,0)</f>
        <v>0</v>
      </c>
      <c r="P100" s="53">
        <f>+O100-M100</f>
        <v>0</v>
      </c>
      <c r="Q100" s="1"/>
      <c r="R100" s="1"/>
      <c r="S100" s="1"/>
      <c r="T100" s="1"/>
      <c r="U100" s="1"/>
    </row>
    <row r="101" spans="1:21">
      <c r="B101" t="str">
        <f t="shared" si="26"/>
        <v/>
      </c>
      <c r="C101" s="49">
        <f>IF(D94="","-",+C100+1)</f>
        <v>2018</v>
      </c>
      <c r="D101" s="371">
        <v>10895702.7125</v>
      </c>
      <c r="E101" s="373">
        <v>306489.52777777775</v>
      </c>
      <c r="F101" s="375">
        <v>10589213.184722222</v>
      </c>
      <c r="G101" s="375">
        <v>10742457.94861111</v>
      </c>
      <c r="H101" s="373">
        <v>1440489.6981770755</v>
      </c>
      <c r="I101" s="374">
        <v>1440489.6981770755</v>
      </c>
      <c r="J101" s="53">
        <v>0</v>
      </c>
      <c r="K101" s="53"/>
      <c r="L101" s="376">
        <f t="shared" ref="L101:L106" si="28">H101</f>
        <v>1440489.6981770755</v>
      </c>
      <c r="M101" s="53">
        <f t="shared" si="27"/>
        <v>0</v>
      </c>
      <c r="N101" s="376">
        <f t="shared" ref="N101:N106" si="29">I101</f>
        <v>1440489.6981770755</v>
      </c>
      <c r="O101" s="53">
        <f>IF(N101&lt;&gt;0,+I101-N101,0)</f>
        <v>0</v>
      </c>
      <c r="P101" s="53">
        <f>+O101-M101</f>
        <v>0</v>
      </c>
      <c r="Q101" s="1"/>
      <c r="R101" s="1"/>
      <c r="S101" s="1"/>
      <c r="T101" s="1"/>
      <c r="U101" s="1"/>
    </row>
    <row r="102" spans="1:21">
      <c r="B102" t="str">
        <f t="shared" si="26"/>
        <v>IU</v>
      </c>
      <c r="C102" s="49">
        <f>IF(D94="","-",+C101+1)</f>
        <v>2019</v>
      </c>
      <c r="D102" s="371">
        <v>10612155.184722222</v>
      </c>
      <c r="E102" s="373">
        <v>307126.80555555556</v>
      </c>
      <c r="F102" s="375">
        <v>10305028.379166666</v>
      </c>
      <c r="G102" s="375">
        <v>10458591.781944444</v>
      </c>
      <c r="H102" s="373">
        <v>1411161.3681851514</v>
      </c>
      <c r="I102" s="374">
        <v>1411161.3681851514</v>
      </c>
      <c r="J102" s="53">
        <f t="shared" ref="J102:J155" si="30">+I102-H102</f>
        <v>0</v>
      </c>
      <c r="K102" s="53"/>
      <c r="L102" s="376">
        <f t="shared" si="28"/>
        <v>1411161.3681851514</v>
      </c>
      <c r="M102" s="53">
        <f t="shared" si="27"/>
        <v>0</v>
      </c>
      <c r="N102" s="376">
        <f t="shared" si="29"/>
        <v>1411161.3681851514</v>
      </c>
      <c r="O102" s="53">
        <f t="shared" ref="O102:O155" si="31">IF(N102&lt;&gt;0,+I102-N102,0)</f>
        <v>0</v>
      </c>
      <c r="P102" s="53">
        <f t="shared" ref="P102:P155" si="32">+O102-M102</f>
        <v>0</v>
      </c>
      <c r="Q102" s="1"/>
      <c r="R102" s="1"/>
      <c r="S102" s="1"/>
      <c r="T102" s="1"/>
      <c r="U102" s="1"/>
    </row>
    <row r="103" spans="1:21">
      <c r="B103" t="str">
        <f t="shared" si="26"/>
        <v/>
      </c>
      <c r="C103" s="49">
        <f>IF(D94="","-",+C102+1)</f>
        <v>2020</v>
      </c>
      <c r="D103" s="371">
        <v>10305028.379166666</v>
      </c>
      <c r="E103" s="373">
        <v>394877.32142857142</v>
      </c>
      <c r="F103" s="375">
        <v>9910151.0577380955</v>
      </c>
      <c r="G103" s="375">
        <v>10107589.718452381</v>
      </c>
      <c r="H103" s="373">
        <v>1470461.3095253243</v>
      </c>
      <c r="I103" s="374">
        <v>1470461.3095253243</v>
      </c>
      <c r="J103" s="53">
        <f t="shared" si="30"/>
        <v>0</v>
      </c>
      <c r="K103" s="53"/>
      <c r="L103" s="376">
        <f t="shared" si="28"/>
        <v>1470461.3095253243</v>
      </c>
      <c r="M103" s="53">
        <f t="shared" si="27"/>
        <v>0</v>
      </c>
      <c r="N103" s="376">
        <f t="shared" si="29"/>
        <v>1470461.3095253243</v>
      </c>
      <c r="O103" s="53">
        <f t="shared" si="31"/>
        <v>0</v>
      </c>
      <c r="P103" s="53">
        <f t="shared" si="32"/>
        <v>0</v>
      </c>
      <c r="Q103" s="1"/>
      <c r="R103" s="1"/>
      <c r="S103" s="1"/>
      <c r="T103" s="1"/>
      <c r="U103" s="1"/>
    </row>
    <row r="104" spans="1:21">
      <c r="B104" t="str">
        <f t="shared" si="26"/>
        <v/>
      </c>
      <c r="C104" s="49">
        <f>IF(D94="","-",+C103+1)</f>
        <v>2021</v>
      </c>
      <c r="D104" s="371">
        <v>9910151.0577380955</v>
      </c>
      <c r="E104" s="373">
        <v>442262.6</v>
      </c>
      <c r="F104" s="375">
        <v>9467888.4577380959</v>
      </c>
      <c r="G104" s="375">
        <v>9689019.7577380948</v>
      </c>
      <c r="H104" s="373">
        <v>1585198.8759410642</v>
      </c>
      <c r="I104" s="374">
        <v>1585198.8759410642</v>
      </c>
      <c r="J104" s="53">
        <f t="shared" si="30"/>
        <v>0</v>
      </c>
      <c r="K104" s="53"/>
      <c r="L104" s="376">
        <f t="shared" si="28"/>
        <v>1585198.8759410642</v>
      </c>
      <c r="M104" s="53">
        <f t="shared" si="27"/>
        <v>0</v>
      </c>
      <c r="N104" s="376">
        <f t="shared" si="29"/>
        <v>1585198.8759410642</v>
      </c>
      <c r="O104" s="53">
        <f t="shared" si="31"/>
        <v>0</v>
      </c>
      <c r="P104" s="53">
        <f t="shared" si="32"/>
        <v>0</v>
      </c>
      <c r="Q104" s="1"/>
      <c r="R104" s="1"/>
      <c r="S104" s="1"/>
      <c r="T104" s="1"/>
      <c r="U104" s="1"/>
    </row>
    <row r="105" spans="1:21">
      <c r="B105" t="str">
        <f t="shared" si="26"/>
        <v/>
      </c>
      <c r="C105" s="49">
        <f>IF(D94="","-",+C104+1)</f>
        <v>2022</v>
      </c>
      <c r="D105" s="371">
        <v>9467888.4577380959</v>
      </c>
      <c r="E105" s="373">
        <v>526503.09523809527</v>
      </c>
      <c r="F105" s="375">
        <v>8941385.3625000007</v>
      </c>
      <c r="G105" s="375">
        <v>9204636.9101190493</v>
      </c>
      <c r="H105" s="373">
        <v>1584723.5294917226</v>
      </c>
      <c r="I105" s="374">
        <v>1584723.5294917226</v>
      </c>
      <c r="J105" s="53">
        <f t="shared" si="30"/>
        <v>0</v>
      </c>
      <c r="K105" s="53"/>
      <c r="L105" s="376">
        <f t="shared" si="28"/>
        <v>1584723.5294917226</v>
      </c>
      <c r="M105" s="53">
        <f t="shared" si="27"/>
        <v>0</v>
      </c>
      <c r="N105" s="376">
        <f t="shared" si="29"/>
        <v>1584723.5294917226</v>
      </c>
      <c r="O105" s="53">
        <f t="shared" ref="O105" si="33">IF(N105&lt;&gt;0,+I105-N105,0)</f>
        <v>0</v>
      </c>
      <c r="P105" s="53">
        <f t="shared" ref="P105" si="34">+O105-M105</f>
        <v>0</v>
      </c>
      <c r="Q105" s="1"/>
      <c r="R105" s="1"/>
      <c r="S105" s="1"/>
      <c r="T105" s="1"/>
      <c r="U105" s="1"/>
    </row>
    <row r="106" spans="1:21">
      <c r="B106" t="str">
        <f t="shared" si="26"/>
        <v>IU</v>
      </c>
      <c r="C106" s="49">
        <f>IF(D94="","-",+C105+1)</f>
        <v>2023</v>
      </c>
      <c r="D106" s="371">
        <v>8941385.722500002</v>
      </c>
      <c r="E106" s="373">
        <v>581924.49263157905</v>
      </c>
      <c r="F106" s="375">
        <v>8359461.2298684232</v>
      </c>
      <c r="G106" s="375">
        <v>8650423.4761842117</v>
      </c>
      <c r="H106" s="373">
        <v>1530306.4057577862</v>
      </c>
      <c r="I106" s="374">
        <v>1530306.4057577862</v>
      </c>
      <c r="J106" s="53">
        <f t="shared" si="30"/>
        <v>0</v>
      </c>
      <c r="K106" s="53"/>
      <c r="L106" s="376">
        <f t="shared" si="28"/>
        <v>1530306.4057577862</v>
      </c>
      <c r="M106" s="53">
        <f t="shared" ref="M106" si="35">IF(L106&lt;&gt;0,+H106-L106,0)</f>
        <v>0</v>
      </c>
      <c r="N106" s="376">
        <f t="shared" si="29"/>
        <v>1530306.4057577862</v>
      </c>
      <c r="O106" s="53">
        <f t="shared" ref="O106" si="36">IF(N106&lt;&gt;0,+I106-N106,0)</f>
        <v>0</v>
      </c>
      <c r="P106" s="53">
        <f t="shared" ref="P106" si="37">+O106-M106</f>
        <v>0</v>
      </c>
      <c r="Q106" s="1"/>
      <c r="R106" s="1"/>
      <c r="S106" s="1"/>
      <c r="T106" s="1"/>
      <c r="U106" s="1"/>
    </row>
    <row r="107" spans="1:21">
      <c r="B107" t="str">
        <f t="shared" si="26"/>
        <v/>
      </c>
      <c r="C107" s="49">
        <f>IF(D94="","-",+C106+1)</f>
        <v>2024</v>
      </c>
      <c r="D107" s="371">
        <v>8359461.2298684232</v>
      </c>
      <c r="E107" s="373">
        <v>650386.19764705887</v>
      </c>
      <c r="F107" s="375">
        <v>7709075.0322213639</v>
      </c>
      <c r="G107" s="375">
        <v>8034268.1310448935</v>
      </c>
      <c r="H107" s="373">
        <v>1539982.1847843667</v>
      </c>
      <c r="I107" s="374">
        <v>1539982.1847843667</v>
      </c>
      <c r="J107" s="53">
        <f t="shared" si="30"/>
        <v>0</v>
      </c>
      <c r="K107" s="53"/>
      <c r="L107" s="376">
        <f t="shared" ref="L107" si="38">H107</f>
        <v>1539982.1847843667</v>
      </c>
      <c r="M107" s="53">
        <f t="shared" ref="M107" si="39">IF(L107&lt;&gt;0,+H107-L107,0)</f>
        <v>0</v>
      </c>
      <c r="N107" s="376">
        <f t="shared" ref="N107" si="40">I107</f>
        <v>1539982.1847843667</v>
      </c>
      <c r="O107" s="53">
        <f t="shared" ref="O107" si="41">IF(N107&lt;&gt;0,+I107-N107,0)</f>
        <v>0</v>
      </c>
      <c r="P107" s="53">
        <f t="shared" ref="P107" si="42">+O107-M107</f>
        <v>0</v>
      </c>
      <c r="Q107" s="1"/>
      <c r="R107" s="1"/>
      <c r="S107" s="1"/>
      <c r="T107" s="1"/>
      <c r="U107" s="1"/>
    </row>
    <row r="108" spans="1:21">
      <c r="B108" t="str">
        <f t="shared" si="26"/>
        <v/>
      </c>
      <c r="C108" s="49">
        <f>IF(D94="","-",+C107+1)</f>
        <v>2025</v>
      </c>
      <c r="D108" s="11">
        <f>IF(F107+SUM(E$100:E107)=D$93,F107,D$93-SUM(E$100:E107))</f>
        <v>7709075.0322213639</v>
      </c>
      <c r="E108" s="377">
        <f t="shared" ref="E108:E134" si="43">IF(+J$97&lt;F107,J$97,D108)</f>
        <v>345517.66750000004</v>
      </c>
      <c r="F108" s="54">
        <f t="shared" ref="F108:F155" si="44">+D108-E108</f>
        <v>7363557.3647213634</v>
      </c>
      <c r="G108" s="54">
        <f t="shared" ref="G108:G155" si="45">+(F108+D108)/2</f>
        <v>7536316.1984713636</v>
      </c>
      <c r="H108" s="459">
        <f t="shared" ref="H108:H155" si="46">(D108+F108)/2*J$95+E108</f>
        <v>1193089.171915214</v>
      </c>
      <c r="I108" s="407">
        <f t="shared" ref="I108:I155" si="47">+J$96*G108+E108</f>
        <v>1193089.171915214</v>
      </c>
      <c r="J108" s="53">
        <f t="shared" si="30"/>
        <v>0</v>
      </c>
      <c r="K108" s="53"/>
      <c r="L108" s="112"/>
      <c r="M108" s="53">
        <f t="shared" ref="M108:M155" si="48">IF(L108&lt;&gt;0,+H108-L108,0)</f>
        <v>0</v>
      </c>
      <c r="N108" s="112"/>
      <c r="O108" s="53">
        <f t="shared" si="31"/>
        <v>0</v>
      </c>
      <c r="P108" s="53">
        <f t="shared" si="32"/>
        <v>0</v>
      </c>
      <c r="Q108" s="1"/>
      <c r="R108" s="1"/>
      <c r="S108" s="1"/>
      <c r="T108" s="1"/>
      <c r="U108" s="1"/>
    </row>
    <row r="109" spans="1:21">
      <c r="B109" t="str">
        <f t="shared" si="26"/>
        <v/>
      </c>
      <c r="C109" s="49">
        <f>IF(D94="","-",+C108+1)</f>
        <v>2026</v>
      </c>
      <c r="D109" s="11">
        <f>IF(F108+SUM(E$100:E108)=D$93,F108,D$93-SUM(E$100:E108))</f>
        <v>7363557.3647213634</v>
      </c>
      <c r="E109" s="377">
        <f t="shared" si="43"/>
        <v>345517.66750000004</v>
      </c>
      <c r="F109" s="54">
        <f t="shared" si="44"/>
        <v>7018039.697221363</v>
      </c>
      <c r="G109" s="54">
        <f t="shared" si="45"/>
        <v>7190798.5309713632</v>
      </c>
      <c r="H109" s="459">
        <f t="shared" si="46"/>
        <v>1154230.5410493261</v>
      </c>
      <c r="I109" s="407">
        <f t="shared" si="47"/>
        <v>1154230.5410493261</v>
      </c>
      <c r="J109" s="53">
        <f t="shared" si="30"/>
        <v>0</v>
      </c>
      <c r="K109" s="53"/>
      <c r="L109" s="112"/>
      <c r="M109" s="53">
        <f t="shared" si="48"/>
        <v>0</v>
      </c>
      <c r="N109" s="112"/>
      <c r="O109" s="53">
        <f t="shared" si="31"/>
        <v>0</v>
      </c>
      <c r="P109" s="53">
        <f t="shared" si="32"/>
        <v>0</v>
      </c>
      <c r="Q109" s="1"/>
      <c r="R109" s="1"/>
      <c r="S109" s="1"/>
      <c r="T109" s="1"/>
      <c r="U109" s="1"/>
    </row>
    <row r="110" spans="1:21">
      <c r="B110" t="str">
        <f t="shared" si="26"/>
        <v/>
      </c>
      <c r="C110" s="49">
        <f>IF(D94="","-",+C109+1)</f>
        <v>2027</v>
      </c>
      <c r="D110" s="11">
        <f>IF(F109+SUM(E$100:E109)=D$93,F109,D$93-SUM(E$100:E109))</f>
        <v>7018039.697221363</v>
      </c>
      <c r="E110" s="377">
        <f t="shared" si="43"/>
        <v>345517.66750000004</v>
      </c>
      <c r="F110" s="54">
        <f t="shared" si="44"/>
        <v>6672522.0297213625</v>
      </c>
      <c r="G110" s="54">
        <f t="shared" si="45"/>
        <v>6845280.8634713627</v>
      </c>
      <c r="H110" s="459">
        <f t="shared" si="46"/>
        <v>1115371.9101834381</v>
      </c>
      <c r="I110" s="407">
        <f t="shared" si="47"/>
        <v>1115371.9101834381</v>
      </c>
      <c r="J110" s="53">
        <f t="shared" si="30"/>
        <v>0</v>
      </c>
      <c r="K110" s="53"/>
      <c r="L110" s="112"/>
      <c r="M110" s="53">
        <f t="shared" si="48"/>
        <v>0</v>
      </c>
      <c r="N110" s="112"/>
      <c r="O110" s="53">
        <f t="shared" si="31"/>
        <v>0</v>
      </c>
      <c r="P110" s="53">
        <f t="shared" si="32"/>
        <v>0</v>
      </c>
      <c r="Q110" s="1"/>
      <c r="R110" s="1"/>
      <c r="S110" s="1"/>
      <c r="T110" s="1"/>
      <c r="U110" s="1"/>
    </row>
    <row r="111" spans="1:21">
      <c r="B111" t="str">
        <f t="shared" si="26"/>
        <v/>
      </c>
      <c r="C111" s="49">
        <f>IF(D94="","-",+C110+1)</f>
        <v>2028</v>
      </c>
      <c r="D111" s="11">
        <f>IF(F110+SUM(E$100:E110)=D$93,F110,D$93-SUM(E$100:E110))</f>
        <v>6672522.0297213625</v>
      </c>
      <c r="E111" s="377">
        <f t="shared" si="43"/>
        <v>345517.66750000004</v>
      </c>
      <c r="F111" s="54">
        <f t="shared" si="44"/>
        <v>6327004.3622213621</v>
      </c>
      <c r="G111" s="54">
        <f t="shared" si="45"/>
        <v>6499763.1959713623</v>
      </c>
      <c r="H111" s="459">
        <f t="shared" si="46"/>
        <v>1076513.2793175501</v>
      </c>
      <c r="I111" s="407">
        <f t="shared" si="47"/>
        <v>1076513.2793175501</v>
      </c>
      <c r="J111" s="53">
        <f t="shared" si="30"/>
        <v>0</v>
      </c>
      <c r="K111" s="53"/>
      <c r="L111" s="112"/>
      <c r="M111" s="53">
        <f t="shared" si="48"/>
        <v>0</v>
      </c>
      <c r="N111" s="112"/>
      <c r="O111" s="53">
        <f t="shared" si="31"/>
        <v>0</v>
      </c>
      <c r="P111" s="53">
        <f t="shared" si="32"/>
        <v>0</v>
      </c>
      <c r="Q111" s="1"/>
      <c r="R111" s="1"/>
      <c r="S111" s="1"/>
      <c r="T111" s="1"/>
      <c r="U111" s="1"/>
    </row>
    <row r="112" spans="1:21">
      <c r="B112" t="str">
        <f t="shared" si="26"/>
        <v/>
      </c>
      <c r="C112" s="49">
        <f>IF(D94="","-",+C111+1)</f>
        <v>2029</v>
      </c>
      <c r="D112" s="11">
        <f>IF(F111+SUM(E$100:E111)=D$93,F111,D$93-SUM(E$100:E111))</f>
        <v>6327004.3622213621</v>
      </c>
      <c r="E112" s="377">
        <f t="shared" si="43"/>
        <v>345517.66750000004</v>
      </c>
      <c r="F112" s="54">
        <f t="shared" si="44"/>
        <v>5981486.6947213616</v>
      </c>
      <c r="G112" s="54">
        <f t="shared" si="45"/>
        <v>6154245.5284713618</v>
      </c>
      <c r="H112" s="459">
        <f t="shared" si="46"/>
        <v>1037654.6484516619</v>
      </c>
      <c r="I112" s="407">
        <f t="shared" si="47"/>
        <v>1037654.6484516619</v>
      </c>
      <c r="J112" s="53">
        <f t="shared" si="30"/>
        <v>0</v>
      </c>
      <c r="K112" s="53"/>
      <c r="L112" s="112"/>
      <c r="M112" s="53">
        <f t="shared" si="48"/>
        <v>0</v>
      </c>
      <c r="N112" s="112"/>
      <c r="O112" s="53">
        <f t="shared" si="31"/>
        <v>0</v>
      </c>
      <c r="P112" s="53">
        <f t="shared" si="32"/>
        <v>0</v>
      </c>
      <c r="Q112" s="1"/>
      <c r="R112" s="1"/>
      <c r="S112" s="1"/>
      <c r="T112" s="1"/>
      <c r="U112" s="1"/>
    </row>
    <row r="113" spans="2:21">
      <c r="B113" t="str">
        <f t="shared" si="26"/>
        <v/>
      </c>
      <c r="C113" s="49">
        <f>IF(D94="","-",+C112+1)</f>
        <v>2030</v>
      </c>
      <c r="D113" s="11">
        <f>IF(F112+SUM(E$100:E112)=D$93,F112,D$93-SUM(E$100:E112))</f>
        <v>5981486.6947213616</v>
      </c>
      <c r="E113" s="377">
        <f t="shared" si="43"/>
        <v>345517.66750000004</v>
      </c>
      <c r="F113" s="54">
        <f t="shared" si="44"/>
        <v>5635969.0272213612</v>
      </c>
      <c r="G113" s="54">
        <f t="shared" si="45"/>
        <v>5808727.8609713614</v>
      </c>
      <c r="H113" s="459">
        <f t="shared" si="46"/>
        <v>998796.01758577395</v>
      </c>
      <c r="I113" s="407">
        <f t="shared" si="47"/>
        <v>998796.01758577395</v>
      </c>
      <c r="J113" s="53">
        <f t="shared" si="30"/>
        <v>0</v>
      </c>
      <c r="K113" s="53"/>
      <c r="L113" s="112"/>
      <c r="M113" s="53">
        <f t="shared" si="48"/>
        <v>0</v>
      </c>
      <c r="N113" s="112"/>
      <c r="O113" s="53">
        <f t="shared" si="31"/>
        <v>0</v>
      </c>
      <c r="P113" s="53">
        <f t="shared" si="32"/>
        <v>0</v>
      </c>
      <c r="Q113" s="1"/>
      <c r="R113" s="1"/>
      <c r="S113" s="1"/>
      <c r="T113" s="1"/>
      <c r="U113" s="1"/>
    </row>
    <row r="114" spans="2:21">
      <c r="B114" t="str">
        <f t="shared" si="26"/>
        <v/>
      </c>
      <c r="C114" s="49">
        <f>IF(D94="","-",+C113+1)</f>
        <v>2031</v>
      </c>
      <c r="D114" s="11">
        <f>IF(F113+SUM(E$100:E113)=D$93,F113,D$93-SUM(E$100:E113))</f>
        <v>5635969.0272213612</v>
      </c>
      <c r="E114" s="377">
        <f t="shared" si="43"/>
        <v>345517.66750000004</v>
      </c>
      <c r="F114" s="54">
        <f t="shared" si="44"/>
        <v>5290451.3597213607</v>
      </c>
      <c r="G114" s="54">
        <f t="shared" si="45"/>
        <v>5463210.193471361</v>
      </c>
      <c r="H114" s="459">
        <f t="shared" si="46"/>
        <v>959937.38671988598</v>
      </c>
      <c r="I114" s="407">
        <f t="shared" si="47"/>
        <v>959937.38671988598</v>
      </c>
      <c r="J114" s="53">
        <f t="shared" si="30"/>
        <v>0</v>
      </c>
      <c r="K114" s="53"/>
      <c r="L114" s="112"/>
      <c r="M114" s="53">
        <f t="shared" si="48"/>
        <v>0</v>
      </c>
      <c r="N114" s="112"/>
      <c r="O114" s="53">
        <f t="shared" si="31"/>
        <v>0</v>
      </c>
      <c r="P114" s="53">
        <f t="shared" si="32"/>
        <v>0</v>
      </c>
      <c r="Q114" s="1"/>
      <c r="R114" s="1"/>
      <c r="S114" s="1"/>
      <c r="T114" s="1"/>
      <c r="U114" s="1"/>
    </row>
    <row r="115" spans="2:21">
      <c r="B115" t="str">
        <f t="shared" si="26"/>
        <v/>
      </c>
      <c r="C115" s="49">
        <f>IF(D94="","-",+C114+1)</f>
        <v>2032</v>
      </c>
      <c r="D115" s="11">
        <f>IF(F114+SUM(E$100:E114)=D$93,F114,D$93-SUM(E$100:E114))</f>
        <v>5290451.3597213607</v>
      </c>
      <c r="E115" s="377">
        <f t="shared" si="43"/>
        <v>345517.66750000004</v>
      </c>
      <c r="F115" s="54">
        <f t="shared" si="44"/>
        <v>4944933.6922213603</v>
      </c>
      <c r="G115" s="54">
        <f t="shared" si="45"/>
        <v>5117692.5259713605</v>
      </c>
      <c r="H115" s="459">
        <f t="shared" si="46"/>
        <v>921078.75585399801</v>
      </c>
      <c r="I115" s="407">
        <f t="shared" si="47"/>
        <v>921078.75585399801</v>
      </c>
      <c r="J115" s="53">
        <f t="shared" si="30"/>
        <v>0</v>
      </c>
      <c r="K115" s="53"/>
      <c r="L115" s="112"/>
      <c r="M115" s="53">
        <f t="shared" si="48"/>
        <v>0</v>
      </c>
      <c r="N115" s="112"/>
      <c r="O115" s="53">
        <f t="shared" si="31"/>
        <v>0</v>
      </c>
      <c r="P115" s="53">
        <f t="shared" si="32"/>
        <v>0</v>
      </c>
      <c r="Q115" s="1"/>
      <c r="R115" s="1"/>
      <c r="S115" s="1"/>
      <c r="T115" s="1"/>
      <c r="U115" s="1"/>
    </row>
    <row r="116" spans="2:21">
      <c r="B116" t="str">
        <f t="shared" si="26"/>
        <v/>
      </c>
      <c r="C116" s="49">
        <f>IF(D94="","-",+C115+1)</f>
        <v>2033</v>
      </c>
      <c r="D116" s="11">
        <f>IF(F115+SUM(E$100:E115)=D$93,F115,D$93-SUM(E$100:E115))</f>
        <v>4944933.6922213603</v>
      </c>
      <c r="E116" s="377">
        <f t="shared" si="43"/>
        <v>345517.66750000004</v>
      </c>
      <c r="F116" s="54">
        <f t="shared" si="44"/>
        <v>4599416.0247213598</v>
      </c>
      <c r="G116" s="54">
        <f t="shared" si="45"/>
        <v>4772174.8584713601</v>
      </c>
      <c r="H116" s="459">
        <f t="shared" si="46"/>
        <v>882220.12498811004</v>
      </c>
      <c r="I116" s="407">
        <f t="shared" si="47"/>
        <v>882220.12498811004</v>
      </c>
      <c r="J116" s="53">
        <f t="shared" si="30"/>
        <v>0</v>
      </c>
      <c r="K116" s="53"/>
      <c r="L116" s="112"/>
      <c r="M116" s="53">
        <f t="shared" si="48"/>
        <v>0</v>
      </c>
      <c r="N116" s="112"/>
      <c r="O116" s="53">
        <f t="shared" si="31"/>
        <v>0</v>
      </c>
      <c r="P116" s="53">
        <f t="shared" si="32"/>
        <v>0</v>
      </c>
      <c r="Q116" s="1"/>
      <c r="R116" s="1"/>
      <c r="S116" s="1"/>
      <c r="T116" s="1"/>
      <c r="U116" s="1"/>
    </row>
    <row r="117" spans="2:21">
      <c r="B117" t="str">
        <f t="shared" si="26"/>
        <v/>
      </c>
      <c r="C117" s="49">
        <f>IF(D94="","-",+C116+1)</f>
        <v>2034</v>
      </c>
      <c r="D117" s="11">
        <f>IF(F116+SUM(E$100:E116)=D$93,F116,D$93-SUM(E$100:E116))</f>
        <v>4599416.0247213598</v>
      </c>
      <c r="E117" s="377">
        <f t="shared" si="43"/>
        <v>345517.66750000004</v>
      </c>
      <c r="F117" s="54">
        <f t="shared" si="44"/>
        <v>4253898.3572213594</v>
      </c>
      <c r="G117" s="54">
        <f t="shared" si="45"/>
        <v>4426657.1909713596</v>
      </c>
      <c r="H117" s="459">
        <f t="shared" si="46"/>
        <v>843361.49412222207</v>
      </c>
      <c r="I117" s="407">
        <f t="shared" si="47"/>
        <v>843361.49412222207</v>
      </c>
      <c r="J117" s="53">
        <f t="shared" si="30"/>
        <v>0</v>
      </c>
      <c r="K117" s="53"/>
      <c r="L117" s="112"/>
      <c r="M117" s="53">
        <f t="shared" si="48"/>
        <v>0</v>
      </c>
      <c r="N117" s="112"/>
      <c r="O117" s="53">
        <f t="shared" si="31"/>
        <v>0</v>
      </c>
      <c r="P117" s="53">
        <f t="shared" si="32"/>
        <v>0</v>
      </c>
      <c r="Q117" s="1"/>
      <c r="R117" s="1"/>
      <c r="S117" s="1"/>
      <c r="T117" s="1"/>
      <c r="U117" s="1"/>
    </row>
    <row r="118" spans="2:21">
      <c r="B118" t="str">
        <f t="shared" si="26"/>
        <v/>
      </c>
      <c r="C118" s="49">
        <f>IF(D94="","-",+C117+1)</f>
        <v>2035</v>
      </c>
      <c r="D118" s="11">
        <f>IF(F117+SUM(E$100:E117)=D$93,F117,D$93-SUM(E$100:E117))</f>
        <v>4253898.3572213594</v>
      </c>
      <c r="E118" s="377">
        <f t="shared" si="43"/>
        <v>345517.66750000004</v>
      </c>
      <c r="F118" s="54">
        <f t="shared" si="44"/>
        <v>3908380.6897213594</v>
      </c>
      <c r="G118" s="54">
        <f t="shared" si="45"/>
        <v>4081139.5234713592</v>
      </c>
      <c r="H118" s="459">
        <f t="shared" si="46"/>
        <v>804502.86325633398</v>
      </c>
      <c r="I118" s="407">
        <f t="shared" si="47"/>
        <v>804502.86325633398</v>
      </c>
      <c r="J118" s="53">
        <f t="shared" si="30"/>
        <v>0</v>
      </c>
      <c r="K118" s="53"/>
      <c r="L118" s="112"/>
      <c r="M118" s="53">
        <f t="shared" si="48"/>
        <v>0</v>
      </c>
      <c r="N118" s="112"/>
      <c r="O118" s="53">
        <f t="shared" si="31"/>
        <v>0</v>
      </c>
      <c r="P118" s="53">
        <f t="shared" si="32"/>
        <v>0</v>
      </c>
      <c r="Q118" s="1"/>
      <c r="R118" s="1"/>
      <c r="S118" s="1"/>
      <c r="T118" s="1"/>
      <c r="U118" s="1"/>
    </row>
    <row r="119" spans="2:21">
      <c r="B119" t="str">
        <f t="shared" si="26"/>
        <v/>
      </c>
      <c r="C119" s="49">
        <f>IF(D94="","-",+C118+1)</f>
        <v>2036</v>
      </c>
      <c r="D119" s="11">
        <f>IF(F118+SUM(E$100:E118)=D$93,F118,D$93-SUM(E$100:E118))</f>
        <v>3908380.6897213594</v>
      </c>
      <c r="E119" s="377">
        <f t="shared" si="43"/>
        <v>345517.66750000004</v>
      </c>
      <c r="F119" s="54">
        <f t="shared" si="44"/>
        <v>3562863.0222213594</v>
      </c>
      <c r="G119" s="54">
        <f t="shared" si="45"/>
        <v>3735621.8559713596</v>
      </c>
      <c r="H119" s="459">
        <f t="shared" si="46"/>
        <v>765644.23239044612</v>
      </c>
      <c r="I119" s="407">
        <f t="shared" si="47"/>
        <v>765644.23239044612</v>
      </c>
      <c r="J119" s="53">
        <f t="shared" si="30"/>
        <v>0</v>
      </c>
      <c r="K119" s="53"/>
      <c r="L119" s="112"/>
      <c r="M119" s="53">
        <f t="shared" si="48"/>
        <v>0</v>
      </c>
      <c r="N119" s="112"/>
      <c r="O119" s="53">
        <f t="shared" si="31"/>
        <v>0</v>
      </c>
      <c r="P119" s="53">
        <f t="shared" si="32"/>
        <v>0</v>
      </c>
      <c r="Q119" s="1"/>
      <c r="R119" s="1"/>
      <c r="S119" s="1"/>
      <c r="T119" s="1"/>
      <c r="U119" s="1"/>
    </row>
    <row r="120" spans="2:21">
      <c r="B120" t="str">
        <f t="shared" si="26"/>
        <v/>
      </c>
      <c r="C120" s="49">
        <f>IF(D94="","-",+C119+1)</f>
        <v>2037</v>
      </c>
      <c r="D120" s="11">
        <f>IF(F119+SUM(E$100:E119)=D$93,F119,D$93-SUM(E$100:E119))</f>
        <v>3562863.0222213594</v>
      </c>
      <c r="E120" s="377">
        <f t="shared" si="43"/>
        <v>345517.66750000004</v>
      </c>
      <c r="F120" s="54">
        <f t="shared" si="44"/>
        <v>3217345.3547213594</v>
      </c>
      <c r="G120" s="54">
        <f t="shared" si="45"/>
        <v>3390104.1884713592</v>
      </c>
      <c r="H120" s="459">
        <f t="shared" si="46"/>
        <v>726785.60152455815</v>
      </c>
      <c r="I120" s="407">
        <f t="shared" si="47"/>
        <v>726785.60152455815</v>
      </c>
      <c r="J120" s="53">
        <f t="shared" si="30"/>
        <v>0</v>
      </c>
      <c r="K120" s="53"/>
      <c r="L120" s="112"/>
      <c r="M120" s="53">
        <f t="shared" si="48"/>
        <v>0</v>
      </c>
      <c r="N120" s="112"/>
      <c r="O120" s="53">
        <f t="shared" si="31"/>
        <v>0</v>
      </c>
      <c r="P120" s="53">
        <f t="shared" si="32"/>
        <v>0</v>
      </c>
      <c r="Q120" s="1"/>
      <c r="R120" s="1"/>
      <c r="S120" s="1"/>
      <c r="T120" s="1"/>
      <c r="U120" s="1"/>
    </row>
    <row r="121" spans="2:21">
      <c r="B121" t="str">
        <f t="shared" si="26"/>
        <v/>
      </c>
      <c r="C121" s="49">
        <f>IF(D94="","-",+C120+1)</f>
        <v>2038</v>
      </c>
      <c r="D121" s="11">
        <f>IF(F120+SUM(E$100:E120)=D$93,F120,D$93-SUM(E$100:E120))</f>
        <v>3217345.3547213594</v>
      </c>
      <c r="E121" s="377">
        <f t="shared" si="43"/>
        <v>345517.66750000004</v>
      </c>
      <c r="F121" s="54">
        <f t="shared" si="44"/>
        <v>2871827.6872213595</v>
      </c>
      <c r="G121" s="54">
        <f t="shared" si="45"/>
        <v>3044586.5209713597</v>
      </c>
      <c r="H121" s="459">
        <f t="shared" si="46"/>
        <v>687926.97065867018</v>
      </c>
      <c r="I121" s="407">
        <f t="shared" si="47"/>
        <v>687926.97065867018</v>
      </c>
      <c r="J121" s="53">
        <f t="shared" si="30"/>
        <v>0</v>
      </c>
      <c r="K121" s="53"/>
      <c r="L121" s="112"/>
      <c r="M121" s="53">
        <f t="shared" si="48"/>
        <v>0</v>
      </c>
      <c r="N121" s="112"/>
      <c r="O121" s="53">
        <f t="shared" si="31"/>
        <v>0</v>
      </c>
      <c r="P121" s="53">
        <f t="shared" si="32"/>
        <v>0</v>
      </c>
      <c r="Q121" s="1"/>
      <c r="R121" s="1"/>
      <c r="S121" s="1"/>
      <c r="T121" s="1"/>
      <c r="U121" s="1"/>
    </row>
    <row r="122" spans="2:21">
      <c r="B122" t="str">
        <f t="shared" si="26"/>
        <v/>
      </c>
      <c r="C122" s="49">
        <f>IF(D94="","-",+C121+1)</f>
        <v>2039</v>
      </c>
      <c r="D122" s="11">
        <f>IF(F121+SUM(E$100:E121)=D$93,F121,D$93-SUM(E$100:E121))</f>
        <v>2871827.6872213595</v>
      </c>
      <c r="E122" s="377">
        <f t="shared" si="43"/>
        <v>345517.66750000004</v>
      </c>
      <c r="F122" s="54">
        <f t="shared" si="44"/>
        <v>2526310.0197213595</v>
      </c>
      <c r="G122" s="54">
        <f t="shared" si="45"/>
        <v>2699068.8534713592</v>
      </c>
      <c r="H122" s="459">
        <f t="shared" si="46"/>
        <v>649068.33979278221</v>
      </c>
      <c r="I122" s="407">
        <f t="shared" si="47"/>
        <v>649068.33979278221</v>
      </c>
      <c r="J122" s="53">
        <f t="shared" si="30"/>
        <v>0</v>
      </c>
      <c r="K122" s="53"/>
      <c r="L122" s="112"/>
      <c r="M122" s="53">
        <f t="shared" si="48"/>
        <v>0</v>
      </c>
      <c r="N122" s="112"/>
      <c r="O122" s="53">
        <f t="shared" si="31"/>
        <v>0</v>
      </c>
      <c r="P122" s="53">
        <f t="shared" si="32"/>
        <v>0</v>
      </c>
      <c r="Q122" s="1"/>
      <c r="R122" s="1"/>
      <c r="S122" s="1"/>
      <c r="T122" s="1"/>
      <c r="U122" s="1"/>
    </row>
    <row r="123" spans="2:21">
      <c r="B123" t="str">
        <f t="shared" si="26"/>
        <v/>
      </c>
      <c r="C123" s="49">
        <f>IF(D94="","-",+C122+1)</f>
        <v>2040</v>
      </c>
      <c r="D123" s="11">
        <f>IF(F122+SUM(E$100:E122)=D$93,F122,D$93-SUM(E$100:E122))</f>
        <v>2526310.0197213595</v>
      </c>
      <c r="E123" s="377">
        <f t="shared" si="43"/>
        <v>345517.66750000004</v>
      </c>
      <c r="F123" s="54">
        <f t="shared" si="44"/>
        <v>2180792.3522213595</v>
      </c>
      <c r="G123" s="54">
        <f t="shared" si="45"/>
        <v>2353551.1859713597</v>
      </c>
      <c r="H123" s="459">
        <f t="shared" si="46"/>
        <v>610209.70892689424</v>
      </c>
      <c r="I123" s="407">
        <f t="shared" si="47"/>
        <v>610209.70892689424</v>
      </c>
      <c r="J123" s="53">
        <f t="shared" si="30"/>
        <v>0</v>
      </c>
      <c r="K123" s="53"/>
      <c r="L123" s="112"/>
      <c r="M123" s="53">
        <f t="shared" si="48"/>
        <v>0</v>
      </c>
      <c r="N123" s="112"/>
      <c r="O123" s="53">
        <f t="shared" si="31"/>
        <v>0</v>
      </c>
      <c r="P123" s="53">
        <f t="shared" si="32"/>
        <v>0</v>
      </c>
      <c r="Q123" s="1"/>
      <c r="R123" s="1"/>
      <c r="S123" s="1"/>
      <c r="T123" s="1"/>
      <c r="U123" s="1"/>
    </row>
    <row r="124" spans="2:21">
      <c r="B124" t="str">
        <f t="shared" si="26"/>
        <v/>
      </c>
      <c r="C124" s="49">
        <f>IF(D94="","-",+C123+1)</f>
        <v>2041</v>
      </c>
      <c r="D124" s="11">
        <f>IF(F123+SUM(E$100:E123)=D$93,F123,D$93-SUM(E$100:E123))</f>
        <v>2180792.3522213595</v>
      </c>
      <c r="E124" s="377">
        <f t="shared" si="43"/>
        <v>345517.66750000004</v>
      </c>
      <c r="F124" s="54">
        <f t="shared" si="44"/>
        <v>1835274.6847213595</v>
      </c>
      <c r="G124" s="54">
        <f t="shared" si="45"/>
        <v>2008033.5184713595</v>
      </c>
      <c r="H124" s="459">
        <f t="shared" si="46"/>
        <v>571351.07806100626</v>
      </c>
      <c r="I124" s="407">
        <f t="shared" si="47"/>
        <v>571351.07806100626</v>
      </c>
      <c r="J124" s="53">
        <f t="shared" si="30"/>
        <v>0</v>
      </c>
      <c r="K124" s="53"/>
      <c r="L124" s="112"/>
      <c r="M124" s="53">
        <f t="shared" si="48"/>
        <v>0</v>
      </c>
      <c r="N124" s="112"/>
      <c r="O124" s="53">
        <f t="shared" si="31"/>
        <v>0</v>
      </c>
      <c r="P124" s="53">
        <f t="shared" si="32"/>
        <v>0</v>
      </c>
      <c r="Q124" s="1"/>
      <c r="R124" s="1"/>
      <c r="S124" s="1"/>
      <c r="T124" s="1"/>
      <c r="U124" s="1"/>
    </row>
    <row r="125" spans="2:21">
      <c r="B125" t="str">
        <f t="shared" si="26"/>
        <v/>
      </c>
      <c r="C125" s="49">
        <f>IF(D94="","-",+C124+1)</f>
        <v>2042</v>
      </c>
      <c r="D125" s="11">
        <f>IF(F124+SUM(E$100:E124)=D$93,F124,D$93-SUM(E$100:E124))</f>
        <v>1835274.6847213595</v>
      </c>
      <c r="E125" s="377">
        <f t="shared" si="43"/>
        <v>345517.66750000004</v>
      </c>
      <c r="F125" s="54">
        <f t="shared" si="44"/>
        <v>1489757.0172213595</v>
      </c>
      <c r="G125" s="54">
        <f t="shared" si="45"/>
        <v>1662515.8509713595</v>
      </c>
      <c r="H125" s="459">
        <f t="shared" si="46"/>
        <v>532492.44719511841</v>
      </c>
      <c r="I125" s="407">
        <f t="shared" si="47"/>
        <v>532492.44719511841</v>
      </c>
      <c r="J125" s="53">
        <f t="shared" si="30"/>
        <v>0</v>
      </c>
      <c r="K125" s="53"/>
      <c r="L125" s="112"/>
      <c r="M125" s="53">
        <f t="shared" si="48"/>
        <v>0</v>
      </c>
      <c r="N125" s="112"/>
      <c r="O125" s="53">
        <f t="shared" si="31"/>
        <v>0</v>
      </c>
      <c r="P125" s="53">
        <f t="shared" si="32"/>
        <v>0</v>
      </c>
      <c r="Q125" s="1"/>
      <c r="R125" s="1"/>
      <c r="S125" s="1"/>
      <c r="T125" s="1"/>
      <c r="U125" s="1"/>
    </row>
    <row r="126" spans="2:21">
      <c r="B126" t="str">
        <f t="shared" si="26"/>
        <v/>
      </c>
      <c r="C126" s="49">
        <f>IF(D94="","-",+C125+1)</f>
        <v>2043</v>
      </c>
      <c r="D126" s="11">
        <f>IF(F125+SUM(E$100:E125)=D$93,F125,D$93-SUM(E$100:E125))</f>
        <v>1489757.0172213595</v>
      </c>
      <c r="E126" s="377">
        <f t="shared" si="43"/>
        <v>345517.66750000004</v>
      </c>
      <c r="F126" s="54">
        <f t="shared" si="44"/>
        <v>1144239.3497213596</v>
      </c>
      <c r="G126" s="54">
        <f t="shared" si="45"/>
        <v>1316998.1834713595</v>
      </c>
      <c r="H126" s="459">
        <f t="shared" si="46"/>
        <v>493633.81632923044</v>
      </c>
      <c r="I126" s="407">
        <f t="shared" si="47"/>
        <v>493633.81632923044</v>
      </c>
      <c r="J126" s="53">
        <f t="shared" si="30"/>
        <v>0</v>
      </c>
      <c r="K126" s="53"/>
      <c r="L126" s="112"/>
      <c r="M126" s="53">
        <f t="shared" si="48"/>
        <v>0</v>
      </c>
      <c r="N126" s="112"/>
      <c r="O126" s="53">
        <f t="shared" si="31"/>
        <v>0</v>
      </c>
      <c r="P126" s="53">
        <f t="shared" si="32"/>
        <v>0</v>
      </c>
      <c r="Q126" s="1"/>
      <c r="R126" s="1"/>
      <c r="S126" s="1"/>
      <c r="T126" s="1"/>
      <c r="U126" s="1"/>
    </row>
    <row r="127" spans="2:21">
      <c r="B127" t="str">
        <f t="shared" si="26"/>
        <v/>
      </c>
      <c r="C127" s="49">
        <f>IF(D94="","-",+C126+1)</f>
        <v>2044</v>
      </c>
      <c r="D127" s="11">
        <f>IF(F126+SUM(E$100:E126)=D$93,F126,D$93-SUM(E$100:E126))</f>
        <v>1144239.3497213596</v>
      </c>
      <c r="E127" s="377">
        <f t="shared" si="43"/>
        <v>345517.66750000004</v>
      </c>
      <c r="F127" s="54">
        <f t="shared" si="44"/>
        <v>798721.68222135957</v>
      </c>
      <c r="G127" s="54">
        <f t="shared" si="45"/>
        <v>971480.51597135956</v>
      </c>
      <c r="H127" s="459">
        <f t="shared" si="46"/>
        <v>454775.18546334247</v>
      </c>
      <c r="I127" s="407">
        <f t="shared" si="47"/>
        <v>454775.18546334247</v>
      </c>
      <c r="J127" s="53">
        <f t="shared" si="30"/>
        <v>0</v>
      </c>
      <c r="K127" s="53"/>
      <c r="L127" s="112"/>
      <c r="M127" s="53">
        <f t="shared" si="48"/>
        <v>0</v>
      </c>
      <c r="N127" s="112"/>
      <c r="O127" s="53">
        <f t="shared" si="31"/>
        <v>0</v>
      </c>
      <c r="P127" s="53">
        <f t="shared" si="32"/>
        <v>0</v>
      </c>
      <c r="Q127" s="1"/>
      <c r="R127" s="1"/>
      <c r="S127" s="1"/>
      <c r="T127" s="1"/>
      <c r="U127" s="1"/>
    </row>
    <row r="128" spans="2:21">
      <c r="B128" t="str">
        <f t="shared" si="26"/>
        <v/>
      </c>
      <c r="C128" s="49">
        <f>IF(D94="","-",+C127+1)</f>
        <v>2045</v>
      </c>
      <c r="D128" s="11">
        <f>IF(F127+SUM(E$100:E127)=D$93,F127,D$93-SUM(E$100:E127))</f>
        <v>798721.68222135957</v>
      </c>
      <c r="E128" s="377">
        <f t="shared" si="43"/>
        <v>345517.66750000004</v>
      </c>
      <c r="F128" s="54">
        <f t="shared" si="44"/>
        <v>453204.01472135953</v>
      </c>
      <c r="G128" s="54">
        <f t="shared" si="45"/>
        <v>625962.84847135958</v>
      </c>
      <c r="H128" s="459">
        <f t="shared" si="46"/>
        <v>415916.55459745449</v>
      </c>
      <c r="I128" s="407">
        <f t="shared" si="47"/>
        <v>415916.55459745449</v>
      </c>
      <c r="J128" s="53">
        <f t="shared" si="30"/>
        <v>0</v>
      </c>
      <c r="K128" s="53"/>
      <c r="L128" s="112"/>
      <c r="M128" s="53">
        <f t="shared" si="48"/>
        <v>0</v>
      </c>
      <c r="N128" s="112"/>
      <c r="O128" s="53">
        <f t="shared" si="31"/>
        <v>0</v>
      </c>
      <c r="P128" s="53">
        <f t="shared" si="32"/>
        <v>0</v>
      </c>
      <c r="Q128" s="1"/>
      <c r="R128" s="1"/>
      <c r="S128" s="1"/>
      <c r="T128" s="1"/>
      <c r="U128" s="1"/>
    </row>
    <row r="129" spans="2:21">
      <c r="B129" t="str">
        <f t="shared" si="26"/>
        <v/>
      </c>
      <c r="C129" s="49">
        <f>IF(D94="","-",+C128+1)</f>
        <v>2046</v>
      </c>
      <c r="D129" s="11">
        <f>IF(F128+SUM(E$100:E128)=D$93,F128,D$93-SUM(E$100:E128))</f>
        <v>453204.01472135953</v>
      </c>
      <c r="E129" s="377">
        <f t="shared" si="43"/>
        <v>345517.66750000004</v>
      </c>
      <c r="F129" s="54">
        <f t="shared" si="44"/>
        <v>107686.34722135949</v>
      </c>
      <c r="G129" s="54">
        <f t="shared" si="45"/>
        <v>280445.18097135948</v>
      </c>
      <c r="H129" s="459">
        <f t="shared" si="46"/>
        <v>377057.92373156658</v>
      </c>
      <c r="I129" s="407">
        <f t="shared" si="47"/>
        <v>377057.92373156658</v>
      </c>
      <c r="J129" s="53">
        <f t="shared" si="30"/>
        <v>0</v>
      </c>
      <c r="K129" s="53"/>
      <c r="L129" s="112"/>
      <c r="M129" s="53">
        <f t="shared" si="48"/>
        <v>0</v>
      </c>
      <c r="N129" s="112"/>
      <c r="O129" s="53">
        <f t="shared" si="31"/>
        <v>0</v>
      </c>
      <c r="P129" s="53">
        <f t="shared" si="32"/>
        <v>0</v>
      </c>
      <c r="Q129" s="1"/>
      <c r="R129" s="1"/>
      <c r="S129" s="1"/>
      <c r="T129" s="1"/>
      <c r="U129" s="1"/>
    </row>
    <row r="130" spans="2:21">
      <c r="B130" t="str">
        <f t="shared" si="26"/>
        <v/>
      </c>
      <c r="C130" s="49">
        <f>IF(D94="","-",+C129+1)</f>
        <v>2047</v>
      </c>
      <c r="D130" s="11">
        <f>IF(F129+SUM(E$100:E129)=D$93,F129,D$93-SUM(E$100:E129))</f>
        <v>107686.34722135949</v>
      </c>
      <c r="E130" s="377">
        <f t="shared" si="43"/>
        <v>107686.34722135949</v>
      </c>
      <c r="F130" s="54">
        <f t="shared" si="44"/>
        <v>0</v>
      </c>
      <c r="G130" s="54">
        <f t="shared" si="45"/>
        <v>53843.173610679747</v>
      </c>
      <c r="H130" s="459">
        <f t="shared" si="46"/>
        <v>113741.81762067077</v>
      </c>
      <c r="I130" s="407">
        <f t="shared" si="47"/>
        <v>113741.81762067077</v>
      </c>
      <c r="J130" s="53">
        <f t="shared" si="30"/>
        <v>0</v>
      </c>
      <c r="K130" s="53"/>
      <c r="L130" s="112"/>
      <c r="M130" s="53">
        <f t="shared" si="48"/>
        <v>0</v>
      </c>
      <c r="N130" s="112"/>
      <c r="O130" s="53">
        <f t="shared" si="31"/>
        <v>0</v>
      </c>
      <c r="P130" s="53">
        <f t="shared" si="32"/>
        <v>0</v>
      </c>
      <c r="Q130" s="1"/>
      <c r="R130" s="1"/>
      <c r="S130" s="1"/>
      <c r="T130" s="1"/>
      <c r="U130" s="1"/>
    </row>
    <row r="131" spans="2:21">
      <c r="B131" t="str">
        <f t="shared" si="26"/>
        <v/>
      </c>
      <c r="C131" s="49">
        <f>IF(D94="","-",+C130+1)</f>
        <v>2048</v>
      </c>
      <c r="D131" s="11">
        <f>IF(F130+SUM(E$100:E130)=D$93,F130,D$93-SUM(E$100:E130))</f>
        <v>0</v>
      </c>
      <c r="E131" s="377">
        <f t="shared" si="43"/>
        <v>0</v>
      </c>
      <c r="F131" s="54">
        <f t="shared" si="44"/>
        <v>0</v>
      </c>
      <c r="G131" s="54">
        <f t="shared" si="45"/>
        <v>0</v>
      </c>
      <c r="H131" s="459">
        <f t="shared" si="46"/>
        <v>0</v>
      </c>
      <c r="I131" s="407">
        <f t="shared" si="47"/>
        <v>0</v>
      </c>
      <c r="J131" s="53">
        <f t="shared" si="30"/>
        <v>0</v>
      </c>
      <c r="K131" s="53"/>
      <c r="L131" s="112"/>
      <c r="M131" s="53">
        <f t="shared" si="48"/>
        <v>0</v>
      </c>
      <c r="N131" s="112"/>
      <c r="O131" s="53">
        <f t="shared" si="31"/>
        <v>0</v>
      </c>
      <c r="P131" s="53">
        <f t="shared" si="32"/>
        <v>0</v>
      </c>
      <c r="Q131" s="1"/>
      <c r="R131" s="1"/>
      <c r="S131" s="1"/>
      <c r="T131" s="1"/>
      <c r="U131" s="1"/>
    </row>
    <row r="132" spans="2:21">
      <c r="B132" t="str">
        <f t="shared" si="26"/>
        <v/>
      </c>
      <c r="C132" s="49">
        <f>IF(D94="","-",+C131+1)</f>
        <v>2049</v>
      </c>
      <c r="D132" s="11">
        <f>IF(F131+SUM(E$100:E131)=D$93,F131,D$93-SUM(E$100:E131))</f>
        <v>0</v>
      </c>
      <c r="E132" s="377">
        <f t="shared" si="43"/>
        <v>0</v>
      </c>
      <c r="F132" s="54">
        <f t="shared" si="44"/>
        <v>0</v>
      </c>
      <c r="G132" s="54">
        <f t="shared" si="45"/>
        <v>0</v>
      </c>
      <c r="H132" s="459">
        <f t="shared" si="46"/>
        <v>0</v>
      </c>
      <c r="I132" s="407">
        <f t="shared" si="47"/>
        <v>0</v>
      </c>
      <c r="J132" s="53">
        <f t="shared" si="30"/>
        <v>0</v>
      </c>
      <c r="K132" s="53"/>
      <c r="L132" s="112"/>
      <c r="M132" s="53">
        <f t="shared" si="48"/>
        <v>0</v>
      </c>
      <c r="N132" s="112"/>
      <c r="O132" s="53">
        <f t="shared" si="31"/>
        <v>0</v>
      </c>
      <c r="P132" s="53">
        <f t="shared" si="32"/>
        <v>0</v>
      </c>
      <c r="Q132" s="1"/>
      <c r="R132" s="1"/>
      <c r="S132" s="1"/>
      <c r="T132" s="1"/>
      <c r="U132" s="1"/>
    </row>
    <row r="133" spans="2:21">
      <c r="B133" t="str">
        <f t="shared" si="26"/>
        <v/>
      </c>
      <c r="C133" s="49">
        <f>IF(D94="","-",+C132+1)</f>
        <v>2050</v>
      </c>
      <c r="D133" s="11">
        <f>IF(F132+SUM(E$100:E132)=D$93,F132,D$93-SUM(E$100:E132))</f>
        <v>0</v>
      </c>
      <c r="E133" s="377">
        <f t="shared" si="43"/>
        <v>0</v>
      </c>
      <c r="F133" s="54">
        <f t="shared" si="44"/>
        <v>0</v>
      </c>
      <c r="G133" s="54">
        <f t="shared" si="45"/>
        <v>0</v>
      </c>
      <c r="H133" s="459">
        <f t="shared" si="46"/>
        <v>0</v>
      </c>
      <c r="I133" s="407">
        <f t="shared" si="47"/>
        <v>0</v>
      </c>
      <c r="J133" s="53">
        <f t="shared" si="30"/>
        <v>0</v>
      </c>
      <c r="K133" s="53"/>
      <c r="L133" s="112"/>
      <c r="M133" s="53">
        <f t="shared" si="48"/>
        <v>0</v>
      </c>
      <c r="N133" s="112"/>
      <c r="O133" s="53">
        <f t="shared" si="31"/>
        <v>0</v>
      </c>
      <c r="P133" s="53">
        <f t="shared" si="32"/>
        <v>0</v>
      </c>
      <c r="Q133" s="1"/>
      <c r="R133" s="1"/>
      <c r="S133" s="1"/>
      <c r="T133" s="1"/>
      <c r="U133" s="1"/>
    </row>
    <row r="134" spans="2:21">
      <c r="B134" t="str">
        <f t="shared" si="26"/>
        <v/>
      </c>
      <c r="C134" s="49">
        <f>IF(D94="","-",+C133+1)</f>
        <v>2051</v>
      </c>
      <c r="D134" s="11">
        <f>IF(F133+SUM(E$100:E133)=D$93,F133,D$93-SUM(E$100:E133))</f>
        <v>0</v>
      </c>
      <c r="E134" s="377">
        <f t="shared" si="43"/>
        <v>0</v>
      </c>
      <c r="F134" s="54">
        <f t="shared" si="44"/>
        <v>0</v>
      </c>
      <c r="G134" s="54">
        <f t="shared" si="45"/>
        <v>0</v>
      </c>
      <c r="H134" s="459">
        <f t="shared" si="46"/>
        <v>0</v>
      </c>
      <c r="I134" s="407">
        <f t="shared" si="47"/>
        <v>0</v>
      </c>
      <c r="J134" s="53">
        <f t="shared" si="30"/>
        <v>0</v>
      </c>
      <c r="K134" s="53"/>
      <c r="L134" s="112"/>
      <c r="M134" s="53">
        <f t="shared" si="48"/>
        <v>0</v>
      </c>
      <c r="N134" s="112"/>
      <c r="O134" s="53">
        <f t="shared" si="31"/>
        <v>0</v>
      </c>
      <c r="P134" s="53">
        <f t="shared" si="32"/>
        <v>0</v>
      </c>
      <c r="Q134" s="1"/>
      <c r="R134" s="1"/>
      <c r="S134" s="1"/>
      <c r="T134" s="1"/>
      <c r="U134" s="1"/>
    </row>
    <row r="135" spans="2:21">
      <c r="B135" t="str">
        <f t="shared" si="26"/>
        <v/>
      </c>
      <c r="C135" s="49">
        <f>IF(D94="","-",+C134+1)</f>
        <v>2052</v>
      </c>
      <c r="D135" s="11">
        <f>IF(F134+SUM(E$100:E134)=D$93,F134,D$93-SUM(E$100:E134))</f>
        <v>0</v>
      </c>
      <c r="E135" s="377">
        <f t="shared" ref="E135:E155" si="49">IF(+J$97&lt;F134,J$97,D135)</f>
        <v>0</v>
      </c>
      <c r="F135" s="54">
        <f t="shared" si="44"/>
        <v>0</v>
      </c>
      <c r="G135" s="54">
        <f t="shared" si="45"/>
        <v>0</v>
      </c>
      <c r="H135" s="459">
        <f t="shared" si="46"/>
        <v>0</v>
      </c>
      <c r="I135" s="407">
        <f t="shared" si="47"/>
        <v>0</v>
      </c>
      <c r="J135" s="53">
        <f t="shared" si="30"/>
        <v>0</v>
      </c>
      <c r="K135" s="53"/>
      <c r="L135" s="112"/>
      <c r="M135" s="53">
        <f t="shared" si="48"/>
        <v>0</v>
      </c>
      <c r="N135" s="112"/>
      <c r="O135" s="53">
        <f t="shared" si="31"/>
        <v>0</v>
      </c>
      <c r="P135" s="53">
        <f t="shared" si="32"/>
        <v>0</v>
      </c>
      <c r="Q135" s="1"/>
      <c r="R135" s="1"/>
      <c r="S135" s="1"/>
      <c r="T135" s="1"/>
      <c r="U135" s="1"/>
    </row>
    <row r="136" spans="2:21">
      <c r="B136" t="str">
        <f t="shared" si="26"/>
        <v/>
      </c>
      <c r="C136" s="49">
        <f>IF(D94="","-",+C135+1)</f>
        <v>2053</v>
      </c>
      <c r="D136" s="11">
        <f>IF(F135+SUM(E$100:E135)=D$93,F135,D$93-SUM(E$100:E135))</f>
        <v>0</v>
      </c>
      <c r="E136" s="377">
        <f t="shared" si="49"/>
        <v>0</v>
      </c>
      <c r="F136" s="54">
        <f t="shared" si="44"/>
        <v>0</v>
      </c>
      <c r="G136" s="54">
        <f t="shared" si="45"/>
        <v>0</v>
      </c>
      <c r="H136" s="459">
        <f t="shared" si="46"/>
        <v>0</v>
      </c>
      <c r="I136" s="407">
        <f t="shared" si="47"/>
        <v>0</v>
      </c>
      <c r="J136" s="53">
        <f t="shared" si="30"/>
        <v>0</v>
      </c>
      <c r="K136" s="53"/>
      <c r="L136" s="112"/>
      <c r="M136" s="53">
        <f t="shared" si="48"/>
        <v>0</v>
      </c>
      <c r="N136" s="112"/>
      <c r="O136" s="53">
        <f t="shared" si="31"/>
        <v>0</v>
      </c>
      <c r="P136" s="53">
        <f t="shared" si="32"/>
        <v>0</v>
      </c>
      <c r="Q136" s="1"/>
      <c r="R136" s="1"/>
      <c r="S136" s="1"/>
      <c r="T136" s="1"/>
      <c r="U136" s="1"/>
    </row>
    <row r="137" spans="2:21">
      <c r="B137" t="str">
        <f t="shared" si="26"/>
        <v/>
      </c>
      <c r="C137" s="49">
        <f>IF(D94="","-",+C136+1)</f>
        <v>2054</v>
      </c>
      <c r="D137" s="11">
        <f>IF(F136+SUM(E$100:E136)=D$93,F136,D$93-SUM(E$100:E136))</f>
        <v>0</v>
      </c>
      <c r="E137" s="377">
        <f t="shared" si="49"/>
        <v>0</v>
      </c>
      <c r="F137" s="54">
        <f t="shared" si="44"/>
        <v>0</v>
      </c>
      <c r="G137" s="54">
        <f t="shared" si="45"/>
        <v>0</v>
      </c>
      <c r="H137" s="459">
        <f t="shared" si="46"/>
        <v>0</v>
      </c>
      <c r="I137" s="407">
        <f t="shared" si="47"/>
        <v>0</v>
      </c>
      <c r="J137" s="53">
        <f t="shared" si="30"/>
        <v>0</v>
      </c>
      <c r="K137" s="53"/>
      <c r="L137" s="112"/>
      <c r="M137" s="53">
        <f t="shared" si="48"/>
        <v>0</v>
      </c>
      <c r="N137" s="112"/>
      <c r="O137" s="53">
        <f t="shared" si="31"/>
        <v>0</v>
      </c>
      <c r="P137" s="53">
        <f t="shared" si="32"/>
        <v>0</v>
      </c>
      <c r="Q137" s="1"/>
      <c r="R137" s="1"/>
      <c r="S137" s="1"/>
      <c r="T137" s="1"/>
      <c r="U137" s="1"/>
    </row>
    <row r="138" spans="2:21">
      <c r="B138" t="str">
        <f t="shared" si="26"/>
        <v/>
      </c>
      <c r="C138" s="49">
        <f>IF(D94="","-",+C137+1)</f>
        <v>2055</v>
      </c>
      <c r="D138" s="11">
        <f>IF(F137+SUM(E$100:E137)=D$93,F137,D$93-SUM(E$100:E137))</f>
        <v>0</v>
      </c>
      <c r="E138" s="377">
        <f t="shared" si="49"/>
        <v>0</v>
      </c>
      <c r="F138" s="54">
        <f t="shared" si="44"/>
        <v>0</v>
      </c>
      <c r="G138" s="54">
        <f t="shared" si="45"/>
        <v>0</v>
      </c>
      <c r="H138" s="459">
        <f t="shared" si="46"/>
        <v>0</v>
      </c>
      <c r="I138" s="407">
        <f t="shared" si="47"/>
        <v>0</v>
      </c>
      <c r="J138" s="53">
        <f t="shared" si="30"/>
        <v>0</v>
      </c>
      <c r="K138" s="53"/>
      <c r="L138" s="112"/>
      <c r="M138" s="53">
        <f t="shared" si="48"/>
        <v>0</v>
      </c>
      <c r="N138" s="112"/>
      <c r="O138" s="53">
        <f t="shared" si="31"/>
        <v>0</v>
      </c>
      <c r="P138" s="53">
        <f t="shared" si="32"/>
        <v>0</v>
      </c>
      <c r="Q138" s="1"/>
      <c r="R138" s="1"/>
      <c r="S138" s="1"/>
      <c r="T138" s="1"/>
      <c r="U138" s="1"/>
    </row>
    <row r="139" spans="2:21">
      <c r="B139" t="str">
        <f t="shared" si="26"/>
        <v/>
      </c>
      <c r="C139" s="49">
        <f>IF(D94="","-",+C138+1)</f>
        <v>2056</v>
      </c>
      <c r="D139" s="11">
        <f>IF(F138+SUM(E$100:E138)=D$93,F138,D$93-SUM(E$100:E138))</f>
        <v>0</v>
      </c>
      <c r="E139" s="377">
        <f t="shared" si="49"/>
        <v>0</v>
      </c>
      <c r="F139" s="54">
        <f t="shared" si="44"/>
        <v>0</v>
      </c>
      <c r="G139" s="54">
        <f t="shared" si="45"/>
        <v>0</v>
      </c>
      <c r="H139" s="459">
        <f t="shared" si="46"/>
        <v>0</v>
      </c>
      <c r="I139" s="407">
        <f t="shared" si="47"/>
        <v>0</v>
      </c>
      <c r="J139" s="53">
        <f t="shared" si="30"/>
        <v>0</v>
      </c>
      <c r="K139" s="53"/>
      <c r="L139" s="112"/>
      <c r="M139" s="53">
        <f t="shared" si="48"/>
        <v>0</v>
      </c>
      <c r="N139" s="112"/>
      <c r="O139" s="53">
        <f t="shared" si="31"/>
        <v>0</v>
      </c>
      <c r="P139" s="53">
        <f t="shared" si="32"/>
        <v>0</v>
      </c>
      <c r="Q139" s="1"/>
      <c r="R139" s="1"/>
      <c r="S139" s="1"/>
      <c r="T139" s="1"/>
      <c r="U139" s="1"/>
    </row>
    <row r="140" spans="2:21">
      <c r="B140" t="str">
        <f t="shared" si="26"/>
        <v/>
      </c>
      <c r="C140" s="49">
        <f>IF(D94="","-",+C139+1)</f>
        <v>2057</v>
      </c>
      <c r="D140" s="11">
        <f>IF(F139+SUM(E$100:E139)=D$93,F139,D$93-SUM(E$100:E139))</f>
        <v>0</v>
      </c>
      <c r="E140" s="377">
        <f t="shared" si="49"/>
        <v>0</v>
      </c>
      <c r="F140" s="54">
        <f t="shared" si="44"/>
        <v>0</v>
      </c>
      <c r="G140" s="54">
        <f t="shared" si="45"/>
        <v>0</v>
      </c>
      <c r="H140" s="459">
        <f t="shared" si="46"/>
        <v>0</v>
      </c>
      <c r="I140" s="407">
        <f t="shared" si="47"/>
        <v>0</v>
      </c>
      <c r="J140" s="53">
        <f t="shared" si="30"/>
        <v>0</v>
      </c>
      <c r="K140" s="53"/>
      <c r="L140" s="112"/>
      <c r="M140" s="53">
        <f t="shared" si="48"/>
        <v>0</v>
      </c>
      <c r="N140" s="112"/>
      <c r="O140" s="53">
        <f t="shared" si="31"/>
        <v>0</v>
      </c>
      <c r="P140" s="53">
        <f t="shared" si="32"/>
        <v>0</v>
      </c>
      <c r="Q140" s="1"/>
      <c r="R140" s="1"/>
      <c r="S140" s="1"/>
      <c r="T140" s="1"/>
      <c r="U140" s="1"/>
    </row>
    <row r="141" spans="2:21">
      <c r="B141" t="str">
        <f t="shared" si="26"/>
        <v/>
      </c>
      <c r="C141" s="49">
        <f>IF(D94="","-",+C140+1)</f>
        <v>2058</v>
      </c>
      <c r="D141" s="11">
        <f>IF(F140+SUM(E$100:E140)=D$93,F140,D$93-SUM(E$100:E140))</f>
        <v>0</v>
      </c>
      <c r="E141" s="377">
        <f t="shared" si="49"/>
        <v>0</v>
      </c>
      <c r="F141" s="54">
        <f t="shared" si="44"/>
        <v>0</v>
      </c>
      <c r="G141" s="54">
        <f t="shared" si="45"/>
        <v>0</v>
      </c>
      <c r="H141" s="459">
        <f t="shared" si="46"/>
        <v>0</v>
      </c>
      <c r="I141" s="407">
        <f t="shared" si="47"/>
        <v>0</v>
      </c>
      <c r="J141" s="53">
        <f t="shared" si="30"/>
        <v>0</v>
      </c>
      <c r="K141" s="53"/>
      <c r="L141" s="112"/>
      <c r="M141" s="53">
        <f t="shared" si="48"/>
        <v>0</v>
      </c>
      <c r="N141" s="112"/>
      <c r="O141" s="53">
        <f t="shared" si="31"/>
        <v>0</v>
      </c>
      <c r="P141" s="53">
        <f t="shared" si="32"/>
        <v>0</v>
      </c>
      <c r="Q141" s="1"/>
      <c r="R141" s="1"/>
      <c r="S141" s="1"/>
      <c r="T141" s="1"/>
      <c r="U141" s="1"/>
    </row>
    <row r="142" spans="2:21">
      <c r="B142" t="str">
        <f t="shared" si="26"/>
        <v/>
      </c>
      <c r="C142" s="49">
        <f>IF(D94="","-",+C141+1)</f>
        <v>2059</v>
      </c>
      <c r="D142" s="11">
        <f>IF(F141+SUM(E$100:E141)=D$93,F141,D$93-SUM(E$100:E141))</f>
        <v>0</v>
      </c>
      <c r="E142" s="377">
        <f t="shared" si="49"/>
        <v>0</v>
      </c>
      <c r="F142" s="54">
        <f t="shared" si="44"/>
        <v>0</v>
      </c>
      <c r="G142" s="54">
        <f t="shared" si="45"/>
        <v>0</v>
      </c>
      <c r="H142" s="459">
        <f t="shared" si="46"/>
        <v>0</v>
      </c>
      <c r="I142" s="407">
        <f t="shared" si="47"/>
        <v>0</v>
      </c>
      <c r="J142" s="53">
        <f t="shared" si="30"/>
        <v>0</v>
      </c>
      <c r="K142" s="53"/>
      <c r="L142" s="112"/>
      <c r="M142" s="53">
        <f t="shared" si="48"/>
        <v>0</v>
      </c>
      <c r="N142" s="112"/>
      <c r="O142" s="53">
        <f t="shared" si="31"/>
        <v>0</v>
      </c>
      <c r="P142" s="53">
        <f t="shared" si="32"/>
        <v>0</v>
      </c>
      <c r="Q142" s="1"/>
      <c r="R142" s="1"/>
      <c r="S142" s="1"/>
      <c r="T142" s="1"/>
      <c r="U142" s="1"/>
    </row>
    <row r="143" spans="2:21">
      <c r="B143" t="str">
        <f t="shared" si="26"/>
        <v/>
      </c>
      <c r="C143" s="49">
        <f>IF(D94="","-",+C142+1)</f>
        <v>2060</v>
      </c>
      <c r="D143" s="11">
        <f>IF(F142+SUM(E$100:E142)=D$93,F142,D$93-SUM(E$100:E142))</f>
        <v>0</v>
      </c>
      <c r="E143" s="377">
        <f t="shared" si="49"/>
        <v>0</v>
      </c>
      <c r="F143" s="54">
        <f t="shared" si="44"/>
        <v>0</v>
      </c>
      <c r="G143" s="54">
        <f t="shared" si="45"/>
        <v>0</v>
      </c>
      <c r="H143" s="459">
        <f t="shared" si="46"/>
        <v>0</v>
      </c>
      <c r="I143" s="407">
        <f t="shared" si="47"/>
        <v>0</v>
      </c>
      <c r="J143" s="53">
        <f t="shared" si="30"/>
        <v>0</v>
      </c>
      <c r="K143" s="53"/>
      <c r="L143" s="112"/>
      <c r="M143" s="53">
        <f t="shared" si="48"/>
        <v>0</v>
      </c>
      <c r="N143" s="112"/>
      <c r="O143" s="53">
        <f t="shared" si="31"/>
        <v>0</v>
      </c>
      <c r="P143" s="53">
        <f t="shared" si="32"/>
        <v>0</v>
      </c>
      <c r="Q143" s="1"/>
      <c r="R143" s="1"/>
      <c r="S143" s="1"/>
      <c r="T143" s="1"/>
      <c r="U143" s="1"/>
    </row>
    <row r="144" spans="2:21">
      <c r="B144" t="str">
        <f t="shared" si="26"/>
        <v/>
      </c>
      <c r="C144" s="49">
        <f>IF(D94="","-",+C143+1)</f>
        <v>2061</v>
      </c>
      <c r="D144" s="11">
        <f>IF(F143+SUM(E$100:E143)=D$93,F143,D$93-SUM(E$100:E143))</f>
        <v>0</v>
      </c>
      <c r="E144" s="377">
        <f t="shared" si="49"/>
        <v>0</v>
      </c>
      <c r="F144" s="54">
        <f t="shared" si="44"/>
        <v>0</v>
      </c>
      <c r="G144" s="54">
        <f t="shared" si="45"/>
        <v>0</v>
      </c>
      <c r="H144" s="459">
        <f t="shared" si="46"/>
        <v>0</v>
      </c>
      <c r="I144" s="407">
        <f t="shared" si="47"/>
        <v>0</v>
      </c>
      <c r="J144" s="53">
        <f t="shared" si="30"/>
        <v>0</v>
      </c>
      <c r="K144" s="53"/>
      <c r="L144" s="112"/>
      <c r="M144" s="53">
        <f t="shared" si="48"/>
        <v>0</v>
      </c>
      <c r="N144" s="112"/>
      <c r="O144" s="53">
        <f t="shared" si="31"/>
        <v>0</v>
      </c>
      <c r="P144" s="53">
        <f t="shared" si="32"/>
        <v>0</v>
      </c>
      <c r="Q144" s="1"/>
      <c r="R144" s="1"/>
      <c r="S144" s="1"/>
      <c r="T144" s="1"/>
      <c r="U144" s="1"/>
    </row>
    <row r="145" spans="2:21">
      <c r="B145" t="str">
        <f t="shared" si="26"/>
        <v/>
      </c>
      <c r="C145" s="49">
        <f>IF(D94="","-",+C144+1)</f>
        <v>2062</v>
      </c>
      <c r="D145" s="11">
        <f>IF(F144+SUM(E$100:E144)=D$93,F144,D$93-SUM(E$100:E144))</f>
        <v>0</v>
      </c>
      <c r="E145" s="377">
        <f t="shared" si="49"/>
        <v>0</v>
      </c>
      <c r="F145" s="54">
        <f t="shared" si="44"/>
        <v>0</v>
      </c>
      <c r="G145" s="54">
        <f t="shared" si="45"/>
        <v>0</v>
      </c>
      <c r="H145" s="459">
        <f t="shared" si="46"/>
        <v>0</v>
      </c>
      <c r="I145" s="407">
        <f t="shared" si="47"/>
        <v>0</v>
      </c>
      <c r="J145" s="53">
        <f t="shared" si="30"/>
        <v>0</v>
      </c>
      <c r="K145" s="53"/>
      <c r="L145" s="112"/>
      <c r="M145" s="53">
        <f t="shared" si="48"/>
        <v>0</v>
      </c>
      <c r="N145" s="112"/>
      <c r="O145" s="53">
        <f t="shared" si="31"/>
        <v>0</v>
      </c>
      <c r="P145" s="53">
        <f t="shared" si="32"/>
        <v>0</v>
      </c>
      <c r="Q145" s="1"/>
      <c r="R145" s="1"/>
      <c r="S145" s="1"/>
      <c r="T145" s="1"/>
      <c r="U145" s="1"/>
    </row>
    <row r="146" spans="2:21">
      <c r="B146" t="str">
        <f t="shared" si="26"/>
        <v/>
      </c>
      <c r="C146" s="49">
        <f>IF(D94="","-",+C145+1)</f>
        <v>2063</v>
      </c>
      <c r="D146" s="11">
        <f>IF(F145+SUM(E$100:E145)=D$93,F145,D$93-SUM(E$100:E145))</f>
        <v>0</v>
      </c>
      <c r="E146" s="377">
        <f t="shared" si="49"/>
        <v>0</v>
      </c>
      <c r="F146" s="54">
        <f t="shared" si="44"/>
        <v>0</v>
      </c>
      <c r="G146" s="54">
        <f t="shared" si="45"/>
        <v>0</v>
      </c>
      <c r="H146" s="459">
        <f t="shared" si="46"/>
        <v>0</v>
      </c>
      <c r="I146" s="407">
        <f t="shared" si="47"/>
        <v>0</v>
      </c>
      <c r="J146" s="53">
        <f t="shared" si="30"/>
        <v>0</v>
      </c>
      <c r="K146" s="53"/>
      <c r="L146" s="112"/>
      <c r="M146" s="53">
        <f t="shared" si="48"/>
        <v>0</v>
      </c>
      <c r="N146" s="112"/>
      <c r="O146" s="53">
        <f t="shared" si="31"/>
        <v>0</v>
      </c>
      <c r="P146" s="53">
        <f t="shared" si="32"/>
        <v>0</v>
      </c>
      <c r="Q146" s="1"/>
      <c r="R146" s="1"/>
      <c r="S146" s="1"/>
      <c r="T146" s="1"/>
      <c r="U146" s="1"/>
    </row>
    <row r="147" spans="2:21">
      <c r="B147" t="str">
        <f t="shared" si="26"/>
        <v/>
      </c>
      <c r="C147" s="49">
        <f>IF(D94="","-",+C146+1)</f>
        <v>2064</v>
      </c>
      <c r="D147" s="11">
        <f>IF(F146+SUM(E$100:E146)=D$93,F146,D$93-SUM(E$100:E146))</f>
        <v>0</v>
      </c>
      <c r="E147" s="377">
        <f t="shared" si="49"/>
        <v>0</v>
      </c>
      <c r="F147" s="54">
        <f t="shared" si="44"/>
        <v>0</v>
      </c>
      <c r="G147" s="54">
        <f t="shared" si="45"/>
        <v>0</v>
      </c>
      <c r="H147" s="459">
        <f t="shared" si="46"/>
        <v>0</v>
      </c>
      <c r="I147" s="407">
        <f t="shared" si="47"/>
        <v>0</v>
      </c>
      <c r="J147" s="53">
        <f t="shared" si="30"/>
        <v>0</v>
      </c>
      <c r="K147" s="53"/>
      <c r="L147" s="112"/>
      <c r="M147" s="53">
        <f t="shared" si="48"/>
        <v>0</v>
      </c>
      <c r="N147" s="112"/>
      <c r="O147" s="53">
        <f t="shared" si="31"/>
        <v>0</v>
      </c>
      <c r="P147" s="53">
        <f t="shared" si="32"/>
        <v>0</v>
      </c>
      <c r="Q147" s="1"/>
      <c r="R147" s="1"/>
      <c r="S147" s="1"/>
      <c r="T147" s="1"/>
      <c r="U147" s="1"/>
    </row>
    <row r="148" spans="2:21">
      <c r="B148" t="str">
        <f t="shared" si="26"/>
        <v/>
      </c>
      <c r="C148" s="49">
        <f>IF(D94="","-",+C147+1)</f>
        <v>2065</v>
      </c>
      <c r="D148" s="11">
        <f>IF(F147+SUM(E$100:E147)=D$93,F147,D$93-SUM(E$100:E147))</f>
        <v>0</v>
      </c>
      <c r="E148" s="377">
        <f t="shared" si="49"/>
        <v>0</v>
      </c>
      <c r="F148" s="54">
        <f t="shared" si="44"/>
        <v>0</v>
      </c>
      <c r="G148" s="54">
        <f t="shared" si="45"/>
        <v>0</v>
      </c>
      <c r="H148" s="459">
        <f t="shared" si="46"/>
        <v>0</v>
      </c>
      <c r="I148" s="407">
        <f t="shared" si="47"/>
        <v>0</v>
      </c>
      <c r="J148" s="53">
        <f t="shared" si="30"/>
        <v>0</v>
      </c>
      <c r="K148" s="53"/>
      <c r="L148" s="112"/>
      <c r="M148" s="53">
        <f t="shared" si="48"/>
        <v>0</v>
      </c>
      <c r="N148" s="112"/>
      <c r="O148" s="53">
        <f t="shared" si="31"/>
        <v>0</v>
      </c>
      <c r="P148" s="53">
        <f t="shared" si="32"/>
        <v>0</v>
      </c>
      <c r="Q148" s="1"/>
      <c r="R148" s="1"/>
      <c r="S148" s="1"/>
      <c r="T148" s="1"/>
      <c r="U148" s="1"/>
    </row>
    <row r="149" spans="2:21">
      <c r="B149" t="str">
        <f t="shared" si="26"/>
        <v/>
      </c>
      <c r="C149" s="49">
        <f>IF(D94="","-",+C148+1)</f>
        <v>2066</v>
      </c>
      <c r="D149" s="11">
        <f>IF(F148+SUM(E$100:E148)=D$93,F148,D$93-SUM(E$100:E148))</f>
        <v>0</v>
      </c>
      <c r="E149" s="377">
        <f t="shared" si="49"/>
        <v>0</v>
      </c>
      <c r="F149" s="54">
        <f t="shared" si="44"/>
        <v>0</v>
      </c>
      <c r="G149" s="54">
        <f t="shared" si="45"/>
        <v>0</v>
      </c>
      <c r="H149" s="459">
        <f t="shared" si="46"/>
        <v>0</v>
      </c>
      <c r="I149" s="407">
        <f t="shared" si="47"/>
        <v>0</v>
      </c>
      <c r="J149" s="53">
        <f t="shared" si="30"/>
        <v>0</v>
      </c>
      <c r="K149" s="53"/>
      <c r="L149" s="112"/>
      <c r="M149" s="53">
        <f t="shared" si="48"/>
        <v>0</v>
      </c>
      <c r="N149" s="112"/>
      <c r="O149" s="53">
        <f t="shared" si="31"/>
        <v>0</v>
      </c>
      <c r="P149" s="53">
        <f t="shared" si="32"/>
        <v>0</v>
      </c>
      <c r="Q149" s="1"/>
      <c r="R149" s="1"/>
      <c r="S149" s="1"/>
      <c r="T149" s="1"/>
      <c r="U149" s="1"/>
    </row>
    <row r="150" spans="2:21">
      <c r="B150" t="str">
        <f t="shared" si="26"/>
        <v/>
      </c>
      <c r="C150" s="49">
        <f>IF(D94="","-",+C149+1)</f>
        <v>2067</v>
      </c>
      <c r="D150" s="11">
        <f>IF(F149+SUM(E$100:E149)=D$93,F149,D$93-SUM(E$100:E149))</f>
        <v>0</v>
      </c>
      <c r="E150" s="377">
        <f t="shared" si="49"/>
        <v>0</v>
      </c>
      <c r="F150" s="54">
        <f t="shared" si="44"/>
        <v>0</v>
      </c>
      <c r="G150" s="54">
        <f t="shared" si="45"/>
        <v>0</v>
      </c>
      <c r="H150" s="459">
        <f t="shared" si="46"/>
        <v>0</v>
      </c>
      <c r="I150" s="407">
        <f t="shared" si="47"/>
        <v>0</v>
      </c>
      <c r="J150" s="53">
        <f t="shared" si="30"/>
        <v>0</v>
      </c>
      <c r="K150" s="53"/>
      <c r="L150" s="112"/>
      <c r="M150" s="53">
        <f t="shared" si="48"/>
        <v>0</v>
      </c>
      <c r="N150" s="112"/>
      <c r="O150" s="53">
        <f t="shared" si="31"/>
        <v>0</v>
      </c>
      <c r="P150" s="53">
        <f t="shared" si="32"/>
        <v>0</v>
      </c>
      <c r="Q150" s="1"/>
      <c r="R150" s="1"/>
      <c r="S150" s="1"/>
      <c r="T150" s="1"/>
      <c r="U150" s="1"/>
    </row>
    <row r="151" spans="2:21">
      <c r="B151" t="str">
        <f t="shared" si="26"/>
        <v/>
      </c>
      <c r="C151" s="49">
        <f>IF(D94="","-",+C150+1)</f>
        <v>2068</v>
      </c>
      <c r="D151" s="11">
        <f>IF(F150+SUM(E$100:E150)=D$93,F150,D$93-SUM(E$100:E150))</f>
        <v>0</v>
      </c>
      <c r="E151" s="377">
        <f t="shared" si="49"/>
        <v>0</v>
      </c>
      <c r="F151" s="54">
        <f t="shared" si="44"/>
        <v>0</v>
      </c>
      <c r="G151" s="54">
        <f t="shared" si="45"/>
        <v>0</v>
      </c>
      <c r="H151" s="459">
        <f t="shared" si="46"/>
        <v>0</v>
      </c>
      <c r="I151" s="407">
        <f t="shared" si="47"/>
        <v>0</v>
      </c>
      <c r="J151" s="53">
        <f t="shared" si="30"/>
        <v>0</v>
      </c>
      <c r="K151" s="53"/>
      <c r="L151" s="112"/>
      <c r="M151" s="53">
        <f t="shared" si="48"/>
        <v>0</v>
      </c>
      <c r="N151" s="112"/>
      <c r="O151" s="53">
        <f t="shared" si="31"/>
        <v>0</v>
      </c>
      <c r="P151" s="53">
        <f t="shared" si="32"/>
        <v>0</v>
      </c>
      <c r="Q151" s="1"/>
      <c r="R151" s="1"/>
      <c r="S151" s="1"/>
      <c r="T151" s="1"/>
      <c r="U151" s="1"/>
    </row>
    <row r="152" spans="2:21">
      <c r="B152" t="str">
        <f t="shared" si="26"/>
        <v/>
      </c>
      <c r="C152" s="49">
        <f>IF(D94="","-",+C151+1)</f>
        <v>2069</v>
      </c>
      <c r="D152" s="11">
        <f>IF(F151+SUM(E$100:E151)=D$93,F151,D$93-SUM(E$100:E151))</f>
        <v>0</v>
      </c>
      <c r="E152" s="377">
        <f t="shared" si="49"/>
        <v>0</v>
      </c>
      <c r="F152" s="54">
        <f t="shared" si="44"/>
        <v>0</v>
      </c>
      <c r="G152" s="54">
        <f t="shared" si="45"/>
        <v>0</v>
      </c>
      <c r="H152" s="459">
        <f t="shared" si="46"/>
        <v>0</v>
      </c>
      <c r="I152" s="407">
        <f t="shared" si="47"/>
        <v>0</v>
      </c>
      <c r="J152" s="53">
        <f t="shared" si="30"/>
        <v>0</v>
      </c>
      <c r="K152" s="53"/>
      <c r="L152" s="112"/>
      <c r="M152" s="53">
        <f t="shared" si="48"/>
        <v>0</v>
      </c>
      <c r="N152" s="112"/>
      <c r="O152" s="53">
        <f t="shared" si="31"/>
        <v>0</v>
      </c>
      <c r="P152" s="53">
        <f t="shared" si="32"/>
        <v>0</v>
      </c>
      <c r="Q152" s="1"/>
      <c r="R152" s="1"/>
      <c r="S152" s="1"/>
      <c r="T152" s="1"/>
      <c r="U152" s="1"/>
    </row>
    <row r="153" spans="2:21">
      <c r="B153" t="str">
        <f t="shared" si="26"/>
        <v/>
      </c>
      <c r="C153" s="49">
        <f>IF(D94="","-",+C152+1)</f>
        <v>2070</v>
      </c>
      <c r="D153" s="11">
        <f>IF(F152+SUM(E$100:E152)=D$93,F152,D$93-SUM(E$100:E152))</f>
        <v>0</v>
      </c>
      <c r="E153" s="377">
        <f t="shared" si="49"/>
        <v>0</v>
      </c>
      <c r="F153" s="54">
        <f t="shared" si="44"/>
        <v>0</v>
      </c>
      <c r="G153" s="54">
        <f t="shared" si="45"/>
        <v>0</v>
      </c>
      <c r="H153" s="459">
        <f t="shared" si="46"/>
        <v>0</v>
      </c>
      <c r="I153" s="407">
        <f t="shared" si="47"/>
        <v>0</v>
      </c>
      <c r="J153" s="53">
        <f t="shared" si="30"/>
        <v>0</v>
      </c>
      <c r="K153" s="53"/>
      <c r="L153" s="112"/>
      <c r="M153" s="53">
        <f t="shared" si="48"/>
        <v>0</v>
      </c>
      <c r="N153" s="112"/>
      <c r="O153" s="53">
        <f t="shared" si="31"/>
        <v>0</v>
      </c>
      <c r="P153" s="53">
        <f t="shared" si="32"/>
        <v>0</v>
      </c>
      <c r="Q153" s="1"/>
      <c r="R153" s="1"/>
      <c r="S153" s="1"/>
      <c r="T153" s="1"/>
      <c r="U153" s="1"/>
    </row>
    <row r="154" spans="2:21">
      <c r="B154" t="str">
        <f t="shared" si="26"/>
        <v/>
      </c>
      <c r="C154" s="49">
        <f>IF(D94="","-",+C153+1)</f>
        <v>2071</v>
      </c>
      <c r="D154" s="11">
        <f>IF(F153+SUM(E$100:E153)=D$93,F153,D$93-SUM(E$100:E153))</f>
        <v>0</v>
      </c>
      <c r="E154" s="377">
        <f t="shared" si="49"/>
        <v>0</v>
      </c>
      <c r="F154" s="54">
        <f t="shared" si="44"/>
        <v>0</v>
      </c>
      <c r="G154" s="54">
        <f t="shared" si="45"/>
        <v>0</v>
      </c>
      <c r="H154" s="459">
        <f t="shared" si="46"/>
        <v>0</v>
      </c>
      <c r="I154" s="407">
        <f t="shared" si="47"/>
        <v>0</v>
      </c>
      <c r="J154" s="53">
        <f t="shared" si="30"/>
        <v>0</v>
      </c>
      <c r="K154" s="53"/>
      <c r="L154" s="112"/>
      <c r="M154" s="53">
        <f t="shared" si="48"/>
        <v>0</v>
      </c>
      <c r="N154" s="112"/>
      <c r="O154" s="53">
        <f t="shared" si="31"/>
        <v>0</v>
      </c>
      <c r="P154" s="53">
        <f t="shared" si="32"/>
        <v>0</v>
      </c>
      <c r="Q154" s="1"/>
      <c r="R154" s="1"/>
      <c r="S154" s="1"/>
      <c r="T154" s="1"/>
      <c r="U154" s="1"/>
    </row>
    <row r="155" spans="2:21" ht="13.5" thickBot="1">
      <c r="B155" t="str">
        <f t="shared" si="26"/>
        <v/>
      </c>
      <c r="C155" s="58">
        <f>IF(D94="","-",+C154+1)</f>
        <v>2072</v>
      </c>
      <c r="D155" s="59">
        <f>IF(F154+SUM(E$100:E154)=D$93,F154,D$93-SUM(E$100:E154))</f>
        <v>0</v>
      </c>
      <c r="E155" s="389">
        <f t="shared" si="49"/>
        <v>0</v>
      </c>
      <c r="F155" s="59">
        <f t="shared" si="44"/>
        <v>0</v>
      </c>
      <c r="G155" s="59">
        <f t="shared" si="45"/>
        <v>0</v>
      </c>
      <c r="H155" s="459">
        <f t="shared" si="46"/>
        <v>0</v>
      </c>
      <c r="I155" s="408">
        <f t="shared" si="47"/>
        <v>0</v>
      </c>
      <c r="J155" s="63">
        <f t="shared" si="30"/>
        <v>0</v>
      </c>
      <c r="K155" s="53"/>
      <c r="L155" s="113"/>
      <c r="M155" s="63">
        <f t="shared" si="48"/>
        <v>0</v>
      </c>
      <c r="N155" s="113"/>
      <c r="O155" s="63">
        <f t="shared" si="31"/>
        <v>0</v>
      </c>
      <c r="P155" s="63">
        <f t="shared" si="32"/>
        <v>0</v>
      </c>
      <c r="Q155" s="1"/>
      <c r="R155" s="1"/>
      <c r="S155" s="1"/>
      <c r="T155" s="1"/>
      <c r="U155" s="1"/>
    </row>
    <row r="156" spans="2:21">
      <c r="C156" s="11" t="s">
        <v>75</v>
      </c>
      <c r="D156" s="242"/>
      <c r="E156" s="242">
        <f>SUM(E100:E155)</f>
        <v>11056565.360000005</v>
      </c>
      <c r="F156" s="242"/>
      <c r="G156" s="242"/>
      <c r="H156" s="242">
        <f>SUM(H100:H155)</f>
        <v>28724831.876079332</v>
      </c>
      <c r="I156" s="242">
        <f>SUM(I100:I155)</f>
        <v>28724831.876079332</v>
      </c>
      <c r="J156" s="242">
        <f>SUM(J100:J155)</f>
        <v>0</v>
      </c>
      <c r="K156" s="242"/>
      <c r="L156" s="242"/>
      <c r="M156" s="242"/>
      <c r="N156" s="242"/>
      <c r="O156" s="242"/>
      <c r="P156" s="1"/>
      <c r="Q156" s="1"/>
      <c r="R156" s="1"/>
      <c r="S156" s="1"/>
      <c r="T156" s="1"/>
      <c r="U156" s="1"/>
    </row>
    <row r="157" spans="2:21">
      <c r="D157" s="2"/>
      <c r="E157" s="1"/>
      <c r="F157" s="1"/>
      <c r="G157" s="1"/>
      <c r="H157" s="1"/>
      <c r="I157" s="260"/>
      <c r="J157" s="260"/>
      <c r="K157" s="242"/>
      <c r="L157" s="260"/>
      <c r="M157" s="260"/>
      <c r="N157" s="260"/>
      <c r="O157" s="260"/>
      <c r="P157" s="1"/>
      <c r="Q157" s="1"/>
      <c r="R157" s="1"/>
      <c r="S157" s="1"/>
      <c r="T157" s="1"/>
      <c r="U157" s="1"/>
    </row>
    <row r="158" spans="2:21">
      <c r="C158" s="83" t="s">
        <v>90</v>
      </c>
      <c r="D158" s="2"/>
      <c r="E158" s="1"/>
      <c r="F158" s="1"/>
      <c r="G158" s="1"/>
      <c r="H158" s="1"/>
      <c r="I158" s="260"/>
      <c r="J158" s="260"/>
      <c r="K158" s="242"/>
      <c r="L158" s="260"/>
      <c r="M158" s="260"/>
      <c r="N158" s="260"/>
      <c r="O158" s="260"/>
      <c r="P158" s="1"/>
      <c r="Q158" s="1"/>
      <c r="R158" s="1"/>
      <c r="S158" s="1"/>
      <c r="T158" s="1"/>
      <c r="U158" s="1"/>
    </row>
    <row r="159" spans="2:21">
      <c r="D159" s="2"/>
      <c r="E159" s="1"/>
      <c r="F159" s="1"/>
      <c r="G159" s="1"/>
      <c r="H159" s="1"/>
      <c r="I159" s="260"/>
      <c r="J159" s="260"/>
      <c r="K159" s="242"/>
      <c r="L159" s="260"/>
      <c r="M159" s="260"/>
      <c r="N159" s="260"/>
      <c r="O159" s="260"/>
      <c r="P159" s="1"/>
      <c r="Q159" s="1"/>
      <c r="R159" s="1"/>
      <c r="S159" s="1"/>
      <c r="T159" s="1"/>
      <c r="U159" s="1"/>
    </row>
    <row r="160" spans="2:21">
      <c r="C160" s="29" t="s">
        <v>96</v>
      </c>
      <c r="D160" s="11"/>
      <c r="E160" s="11"/>
      <c r="F160" s="11"/>
      <c r="G160" s="11"/>
      <c r="H160" s="242"/>
      <c r="I160" s="242"/>
      <c r="J160" s="64"/>
      <c r="K160" s="64"/>
      <c r="L160" s="64"/>
      <c r="M160" s="64"/>
      <c r="N160" s="64"/>
      <c r="O160" s="64"/>
      <c r="P160" s="1"/>
      <c r="Q160" s="1"/>
      <c r="R160" s="1"/>
      <c r="S160" s="1"/>
      <c r="T160" s="1"/>
      <c r="U160" s="1"/>
    </row>
    <row r="161" spans="3:21">
      <c r="C161" s="84" t="s">
        <v>76</v>
      </c>
      <c r="D161" s="11"/>
      <c r="E161" s="11"/>
      <c r="F161" s="11"/>
      <c r="G161" s="11"/>
      <c r="H161" s="242"/>
      <c r="I161" s="242"/>
      <c r="J161" s="64"/>
      <c r="K161" s="64"/>
      <c r="L161" s="64"/>
      <c r="M161" s="64"/>
      <c r="N161" s="64"/>
      <c r="O161" s="64"/>
      <c r="P161" s="1"/>
      <c r="Q161" s="1"/>
      <c r="R161" s="1"/>
      <c r="S161" s="1"/>
      <c r="T161" s="1"/>
      <c r="U161" s="1"/>
    </row>
    <row r="162" spans="3:21">
      <c r="C162" s="84" t="s">
        <v>77</v>
      </c>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conditionalFormatting sqref="C17:C73">
    <cfRule type="cellIs" dxfId="25" priority="1" stopIfTrue="1" operator="equal">
      <formula>$I$10</formula>
    </cfRule>
  </conditionalFormatting>
  <conditionalFormatting sqref="C100:C155">
    <cfRule type="cellIs" dxfId="24" priority="5"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67"/>
  <dimension ref="A1:P163"/>
  <sheetViews>
    <sheetView topLeftCell="A60" zoomScale="85" zoomScaleNormal="85" workbookViewId="0">
      <selection activeCell="D94" sqref="D94"/>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9.140625" customWidth="1"/>
    <col min="23" max="23" width="9.140625" customWidth="1"/>
  </cols>
  <sheetData>
    <row r="1" spans="1:16" ht="20.25">
      <c r="A1" s="93" t="s">
        <v>189</v>
      </c>
      <c r="B1" s="1"/>
      <c r="C1" s="1"/>
      <c r="D1" s="2"/>
      <c r="E1" s="1"/>
      <c r="F1" s="7"/>
      <c r="G1" s="1"/>
      <c r="H1" s="260"/>
      <c r="K1" s="12"/>
      <c r="L1" s="12"/>
      <c r="M1" s="12"/>
      <c r="P1" s="98" t="str">
        <f ca="1">"OKT Project "&amp;RIGHT(MID(CELL("filename",$A$1),FIND("]",CELL("filename",$A$1))+1,256),2)&amp;" of "&amp;COUNT('OKT.001:OKT.xyz - blank'!$P$3)-1</f>
        <v>OKT Project 16 of 26</v>
      </c>
    </row>
    <row r="2" spans="1:16" ht="18">
      <c r="B2" s="1"/>
      <c r="C2" s="1"/>
      <c r="D2" s="2"/>
      <c r="E2" s="1"/>
      <c r="F2" s="1"/>
      <c r="G2" s="1"/>
      <c r="H2" s="260"/>
      <c r="I2" s="1"/>
      <c r="J2" s="1"/>
      <c r="K2" s="1"/>
      <c r="L2" s="1"/>
      <c r="M2" s="1"/>
      <c r="N2" s="1"/>
      <c r="P2" s="99" t="s">
        <v>131</v>
      </c>
    </row>
    <row r="3" spans="1:16" ht="18.75">
      <c r="B3" s="4" t="s">
        <v>42</v>
      </c>
      <c r="C3" s="9" t="s">
        <v>43</v>
      </c>
      <c r="D3" s="2"/>
      <c r="E3" s="1"/>
      <c r="F3" s="1"/>
      <c r="G3" s="1"/>
      <c r="H3" s="260"/>
      <c r="I3" s="260"/>
      <c r="J3" s="242"/>
      <c r="K3" s="260"/>
      <c r="L3" s="260"/>
      <c r="M3" s="260"/>
      <c r="N3" s="260"/>
      <c r="O3" s="1"/>
      <c r="P3" s="91">
        <v>1</v>
      </c>
    </row>
    <row r="4" spans="1:16" ht="15.75" thickBot="1">
      <c r="C4" s="250"/>
      <c r="D4" s="2"/>
      <c r="E4" s="1"/>
      <c r="F4" s="1"/>
      <c r="G4" s="1"/>
      <c r="H4" s="260"/>
      <c r="I4" s="260"/>
      <c r="J4" s="242"/>
      <c r="K4" s="260"/>
      <c r="L4" s="260"/>
      <c r="M4" s="260"/>
      <c r="N4" s="260"/>
      <c r="O4" s="1"/>
      <c r="P4" s="1"/>
    </row>
    <row r="5" spans="1:16" ht="15">
      <c r="C5" s="14" t="s">
        <v>44</v>
      </c>
      <c r="D5" s="2"/>
      <c r="E5" s="1"/>
      <c r="F5" s="1"/>
      <c r="G5" s="349"/>
      <c r="H5" s="1" t="s">
        <v>45</v>
      </c>
      <c r="I5" s="1"/>
      <c r="J5" s="1"/>
      <c r="K5" s="16" t="s">
        <v>242</v>
      </c>
      <c r="L5" s="17"/>
      <c r="M5" s="18"/>
      <c r="N5" s="350">
        <f>VLOOKUP(I10,C17:I73,5)</f>
        <v>1171913.4158382551</v>
      </c>
      <c r="P5" s="1"/>
    </row>
    <row r="6" spans="1:16" ht="15.75">
      <c r="C6" s="6"/>
      <c r="D6" s="2"/>
      <c r="E6" s="1"/>
      <c r="F6" s="1"/>
      <c r="G6" s="1"/>
      <c r="H6" s="351"/>
      <c r="I6" s="351"/>
      <c r="J6" s="352"/>
      <c r="K6" s="22" t="s">
        <v>243</v>
      </c>
      <c r="L6" s="353"/>
      <c r="M6" s="1"/>
      <c r="N6" s="354">
        <f>VLOOKUP(I10,C17:I73,6)</f>
        <v>1171913.4158382551</v>
      </c>
      <c r="O6" s="1"/>
      <c r="P6" s="1"/>
    </row>
    <row r="7" spans="1:16" ht="13.5" thickBot="1">
      <c r="C7" s="25" t="s">
        <v>46</v>
      </c>
      <c r="D7" s="87" t="s">
        <v>246</v>
      </c>
      <c r="E7" s="1"/>
      <c r="F7" s="1"/>
      <c r="G7" s="1"/>
      <c r="H7" s="260"/>
      <c r="I7" s="260"/>
      <c r="J7" s="242"/>
      <c r="K7" s="355" t="s">
        <v>47</v>
      </c>
      <c r="L7" s="356"/>
      <c r="M7" s="356"/>
      <c r="N7" s="357">
        <f>+N6-N5</f>
        <v>0</v>
      </c>
      <c r="O7" s="1"/>
      <c r="P7" s="1"/>
    </row>
    <row r="8" spans="1:16" ht="13.5" thickBot="1">
      <c r="C8" s="29"/>
      <c r="D8" s="83" t="str">
        <f>IF(D10&lt;100000,"DOES NOT MEET SPP $100,000 MINIMUM INVESTMENT FOR REGIONAL BPU SHARING.","")</f>
        <v/>
      </c>
      <c r="E8" s="10"/>
      <c r="F8" s="10"/>
      <c r="G8" s="10"/>
      <c r="H8" s="10"/>
      <c r="I8" s="10"/>
      <c r="J8" s="10"/>
      <c r="K8" s="10"/>
      <c r="L8" s="10"/>
      <c r="M8" s="10"/>
      <c r="N8" s="10"/>
      <c r="O8" s="10"/>
      <c r="P8" s="1"/>
    </row>
    <row r="9" spans="1:16" ht="13.5" thickBot="1">
      <c r="C9" s="30" t="s">
        <v>48</v>
      </c>
      <c r="D9" s="89" t="s">
        <v>262</v>
      </c>
      <c r="E9" s="31" t="s">
        <v>310</v>
      </c>
      <c r="F9" s="526">
        <v>30873</v>
      </c>
      <c r="G9" s="31"/>
      <c r="H9" s="31"/>
      <c r="I9" s="32"/>
      <c r="J9" s="33"/>
      <c r="P9" s="1"/>
    </row>
    <row r="10" spans="1:16">
      <c r="C10" s="34" t="s">
        <v>49</v>
      </c>
      <c r="D10" s="358">
        <v>9653726.4200000018</v>
      </c>
      <c r="E10" s="1" t="s">
        <v>50</v>
      </c>
      <c r="G10" s="2"/>
      <c r="H10" s="2"/>
      <c r="I10" s="36">
        <f>+'OKT.WS.F.BPU.ATRR.Projected'!R100</f>
        <v>2025</v>
      </c>
      <c r="J10" s="33"/>
      <c r="K10" s="242" t="s">
        <v>51</v>
      </c>
      <c r="O10" s="1"/>
      <c r="P10" s="1"/>
    </row>
    <row r="11" spans="1:16">
      <c r="C11" s="34" t="s">
        <v>52</v>
      </c>
      <c r="D11" s="37">
        <v>2017</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8">
        <v>7</v>
      </c>
      <c r="E12" s="34" t="s">
        <v>55</v>
      </c>
      <c r="F12" s="2"/>
      <c r="I12" s="40">
        <f>'OKT.WS.F.BPU.ATRR.Projected'!$F$78</f>
        <v>0.11444992740144029</v>
      </c>
      <c r="J12" s="7"/>
      <c r="K12" t="s">
        <v>56</v>
      </c>
      <c r="O12" s="1"/>
      <c r="P12" s="1"/>
    </row>
    <row r="13" spans="1:16">
      <c r="C13" s="34" t="s">
        <v>57</v>
      </c>
      <c r="D13" s="38">
        <f>+'OKT.WS.F.BPU.ATRR.Projected'!F$89</f>
        <v>30</v>
      </c>
      <c r="E13" s="34" t="s">
        <v>58</v>
      </c>
      <c r="F13" s="2"/>
      <c r="I13" s="40">
        <f>IF(G5="",I12,'OKT.WS.F.BPU.ATRR.Projected'!$F$77)</f>
        <v>0.11444992740144029</v>
      </c>
      <c r="J13" s="7"/>
      <c r="K13" s="242" t="s">
        <v>59</v>
      </c>
      <c r="L13" s="7"/>
      <c r="M13" s="7"/>
      <c r="N13" s="7"/>
      <c r="O13" s="1"/>
      <c r="P13" s="1"/>
    </row>
    <row r="14" spans="1:16" ht="13.5" thickBot="1">
      <c r="C14" s="34" t="s">
        <v>60</v>
      </c>
      <c r="D14" s="37" t="s">
        <v>61</v>
      </c>
      <c r="E14" s="1" t="s">
        <v>62</v>
      </c>
      <c r="F14" s="2"/>
      <c r="I14" s="359">
        <f>IF(D10=0,0,D10/D13)</f>
        <v>321790.88066666672</v>
      </c>
      <c r="J14" s="242"/>
      <c r="K14" s="242"/>
      <c r="L14" s="242"/>
      <c r="M14" s="242"/>
      <c r="N14" s="242"/>
      <c r="O14" s="1"/>
      <c r="P14" s="1"/>
    </row>
    <row r="15" spans="1:16"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row>
    <row r="16" spans="1:16"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row>
    <row r="17" spans="2:16">
      <c r="B17" t="str">
        <f t="shared" ref="B17:B71" si="0">IF(D17=F16,"","IU")</f>
        <v>IU</v>
      </c>
      <c r="C17" s="49">
        <f>IF(D11= "","-",D11)</f>
        <v>2017</v>
      </c>
      <c r="D17" s="433">
        <v>0</v>
      </c>
      <c r="E17" s="440">
        <v>72904.982539658653</v>
      </c>
      <c r="F17" s="433">
        <v>8826095.0174603406</v>
      </c>
      <c r="G17" s="440">
        <v>558075.303653282</v>
      </c>
      <c r="H17" s="438">
        <v>558075.303653282</v>
      </c>
      <c r="I17" s="51">
        <f>H17-G17</f>
        <v>0</v>
      </c>
      <c r="J17" s="51"/>
      <c r="K17" s="114">
        <f t="shared" ref="K17:K22" si="1">+G17</f>
        <v>558075.303653282</v>
      </c>
      <c r="L17" s="52">
        <f t="shared" ref="L17:L71" si="2">IF(K17&lt;&gt;0,+G17-K17,0)</f>
        <v>0</v>
      </c>
      <c r="M17" s="114">
        <f t="shared" ref="M17:M22" si="3">+H17</f>
        <v>558075.303653282</v>
      </c>
      <c r="N17" s="52">
        <f t="shared" ref="N17:N71" si="4">IF(M17&lt;&gt;0,+H17-M17,0)</f>
        <v>0</v>
      </c>
      <c r="O17" s="53">
        <f t="shared" ref="O17:O71" si="5">+N17-L17</f>
        <v>0</v>
      </c>
      <c r="P17" s="1"/>
    </row>
    <row r="18" spans="2:16">
      <c r="B18" t="str">
        <f t="shared" si="0"/>
        <v/>
      </c>
      <c r="C18" s="49">
        <f>IF(D11="","-",+C17+1)</f>
        <v>2018</v>
      </c>
      <c r="D18" s="435">
        <v>8826095.0174603406</v>
      </c>
      <c r="E18" s="434">
        <v>218244.25465113699</v>
      </c>
      <c r="F18" s="435">
        <v>8607850.7628092039</v>
      </c>
      <c r="G18" s="434">
        <v>1104094.8534187796</v>
      </c>
      <c r="H18" s="438">
        <v>1104094.8534187796</v>
      </c>
      <c r="I18" s="51">
        <f t="shared" ref="I18:I71" si="6">H18-G18</f>
        <v>0</v>
      </c>
      <c r="J18" s="51"/>
      <c r="K18" s="419">
        <f t="shared" si="1"/>
        <v>1104094.8534187796</v>
      </c>
      <c r="L18" s="422">
        <f t="shared" si="2"/>
        <v>0</v>
      </c>
      <c r="M18" s="419">
        <f t="shared" si="3"/>
        <v>1104094.8534187796</v>
      </c>
      <c r="N18" s="53">
        <f t="shared" si="4"/>
        <v>0</v>
      </c>
      <c r="O18" s="53">
        <f t="shared" si="5"/>
        <v>0</v>
      </c>
      <c r="P18" s="1"/>
    </row>
    <row r="19" spans="2:16">
      <c r="B19" t="str">
        <f t="shared" si="0"/>
        <v/>
      </c>
      <c r="C19" s="49">
        <f>IF(D11="","-",+C18+1)</f>
        <v>2019</v>
      </c>
      <c r="D19" s="435">
        <v>8607850.7628092039</v>
      </c>
      <c r="E19" s="434">
        <v>263934.0787603631</v>
      </c>
      <c r="F19" s="435">
        <v>8343916.6840488408</v>
      </c>
      <c r="G19" s="434">
        <v>1144883.2286713799</v>
      </c>
      <c r="H19" s="438">
        <v>1144883.2286713799</v>
      </c>
      <c r="I19" s="51">
        <f t="shared" si="6"/>
        <v>0</v>
      </c>
      <c r="J19" s="51"/>
      <c r="K19" s="419">
        <f t="shared" si="1"/>
        <v>1144883.2286713799</v>
      </c>
      <c r="L19" s="422">
        <f t="shared" ref="L19" si="7">IF(K19&lt;&gt;0,+G19-K19,0)</f>
        <v>0</v>
      </c>
      <c r="M19" s="419">
        <f t="shared" si="3"/>
        <v>1144883.2286713799</v>
      </c>
      <c r="N19" s="53">
        <f t="shared" ref="N19" si="8">IF(M19&lt;&gt;0,+H19-M19,0)</f>
        <v>0</v>
      </c>
      <c r="O19" s="53">
        <f t="shared" ref="O19" si="9">+N19-L19</f>
        <v>0</v>
      </c>
      <c r="P19" s="1"/>
    </row>
    <row r="20" spans="2:16">
      <c r="B20" t="str">
        <f t="shared" si="0"/>
        <v>IU</v>
      </c>
      <c r="C20" s="49">
        <f>IF(D11="","-",+C19+1)</f>
        <v>2020</v>
      </c>
      <c r="D20" s="435">
        <v>9147876.5081580672</v>
      </c>
      <c r="E20" s="434">
        <v>282782.06007850129</v>
      </c>
      <c r="F20" s="435">
        <v>8865094.4480795655</v>
      </c>
      <c r="G20" s="434">
        <v>1227854.794149773</v>
      </c>
      <c r="H20" s="438">
        <v>1227854.794149773</v>
      </c>
      <c r="I20" s="51">
        <f t="shared" si="6"/>
        <v>0</v>
      </c>
      <c r="J20" s="51"/>
      <c r="K20" s="419">
        <f t="shared" si="1"/>
        <v>1227854.794149773</v>
      </c>
      <c r="L20" s="422">
        <f t="shared" ref="L20" si="10">IF(K20&lt;&gt;0,+G20-K20,0)</f>
        <v>0</v>
      </c>
      <c r="M20" s="419">
        <f t="shared" si="3"/>
        <v>1227854.794149773</v>
      </c>
      <c r="N20" s="53">
        <f t="shared" si="4"/>
        <v>0</v>
      </c>
      <c r="O20" s="53">
        <f t="shared" si="5"/>
        <v>0</v>
      </c>
      <c r="P20" s="1"/>
    </row>
    <row r="21" spans="2:16">
      <c r="B21" t="str">
        <f t="shared" si="0"/>
        <v>IU</v>
      </c>
      <c r="C21" s="49">
        <f>IF(D11="","-",+C20+1)</f>
        <v>2021</v>
      </c>
      <c r="D21" s="435">
        <v>8825085.6239703409</v>
      </c>
      <c r="E21" s="434">
        <v>311708.09677419357</v>
      </c>
      <c r="F21" s="435">
        <v>8513377.5271961465</v>
      </c>
      <c r="G21" s="434">
        <v>1249589.4972268606</v>
      </c>
      <c r="H21" s="438">
        <v>1249589.4972268606</v>
      </c>
      <c r="I21" s="51">
        <f t="shared" si="6"/>
        <v>0</v>
      </c>
      <c r="J21" s="51"/>
      <c r="K21" s="419">
        <f t="shared" si="1"/>
        <v>1249589.4972268606</v>
      </c>
      <c r="L21" s="422">
        <f t="shared" ref="L21" si="11">IF(K21&lt;&gt;0,+G21-K21,0)</f>
        <v>0</v>
      </c>
      <c r="M21" s="419">
        <f t="shared" si="3"/>
        <v>1249589.4972268606</v>
      </c>
      <c r="N21" s="53">
        <f t="shared" si="4"/>
        <v>0</v>
      </c>
      <c r="O21" s="53">
        <f t="shared" si="5"/>
        <v>0</v>
      </c>
      <c r="P21" s="1"/>
    </row>
    <row r="22" spans="2:16">
      <c r="B22" t="str">
        <f t="shared" si="0"/>
        <v>IU</v>
      </c>
      <c r="C22" s="49">
        <f>IF(D11="","-",+C21+1)</f>
        <v>2022</v>
      </c>
      <c r="D22" s="435">
        <v>8504152.5271961465</v>
      </c>
      <c r="E22" s="434">
        <v>292537.15151515149</v>
      </c>
      <c r="F22" s="435">
        <v>8211615.3756809952</v>
      </c>
      <c r="G22" s="434">
        <v>1251677.6661612696</v>
      </c>
      <c r="H22" s="438">
        <v>1251677.6661612696</v>
      </c>
      <c r="I22" s="51">
        <f t="shared" si="6"/>
        <v>0</v>
      </c>
      <c r="J22" s="51"/>
      <c r="K22" s="419">
        <f t="shared" si="1"/>
        <v>1251677.6661612696</v>
      </c>
      <c r="L22" s="422">
        <f t="shared" ref="L22" si="12">IF(K22&lt;&gt;0,+G22-K22,0)</f>
        <v>0</v>
      </c>
      <c r="M22" s="419">
        <f t="shared" si="3"/>
        <v>1251677.6661612696</v>
      </c>
      <c r="N22" s="53">
        <f t="shared" si="4"/>
        <v>0</v>
      </c>
      <c r="O22" s="53">
        <f t="shared" si="5"/>
        <v>0</v>
      </c>
      <c r="P22" s="1"/>
    </row>
    <row r="23" spans="2:16">
      <c r="B23" t="str">
        <f t="shared" si="0"/>
        <v>IU</v>
      </c>
      <c r="C23" s="49">
        <f>IF(D11="","-",+C22+1)</f>
        <v>2023</v>
      </c>
      <c r="D23" s="435">
        <v>8211615.795680997</v>
      </c>
      <c r="E23" s="434">
        <v>311410.5296774194</v>
      </c>
      <c r="F23" s="435">
        <v>7900205.266003578</v>
      </c>
      <c r="G23" s="434">
        <v>1221993.0968940321</v>
      </c>
      <c r="H23" s="438">
        <v>1221993.0968940321</v>
      </c>
      <c r="I23" s="51">
        <f t="shared" si="6"/>
        <v>0</v>
      </c>
      <c r="J23" s="51"/>
      <c r="K23" s="419">
        <f t="shared" ref="K23" si="13">+G23</f>
        <v>1221993.0968940321</v>
      </c>
      <c r="L23" s="422">
        <f t="shared" ref="L23" si="14">IF(K23&lt;&gt;0,+G23-K23,0)</f>
        <v>0</v>
      </c>
      <c r="M23" s="419">
        <f t="shared" ref="M23" si="15">+H23</f>
        <v>1221993.0968940321</v>
      </c>
      <c r="N23" s="53">
        <f t="shared" si="4"/>
        <v>0</v>
      </c>
      <c r="O23" s="53">
        <f t="shared" si="5"/>
        <v>0</v>
      </c>
      <c r="P23" s="1"/>
    </row>
    <row r="24" spans="2:16">
      <c r="B24" t="str">
        <f t="shared" si="0"/>
        <v/>
      </c>
      <c r="C24" s="49">
        <f>IF(D11="","-",+C23+1)</f>
        <v>2024</v>
      </c>
      <c r="D24" s="435">
        <v>7900205.266003578</v>
      </c>
      <c r="E24" s="434">
        <v>311410.5296774194</v>
      </c>
      <c r="F24" s="435">
        <v>7588794.736326159</v>
      </c>
      <c r="G24" s="434">
        <v>1193754.0627599962</v>
      </c>
      <c r="H24" s="438">
        <v>1193754.0627599962</v>
      </c>
      <c r="I24" s="51">
        <f t="shared" si="6"/>
        <v>0</v>
      </c>
      <c r="J24" s="51"/>
      <c r="K24" s="419">
        <f t="shared" ref="K24" si="16">+G24</f>
        <v>1193754.0627599962</v>
      </c>
      <c r="L24" s="422">
        <f t="shared" ref="L24" si="17">IF(K24&lt;&gt;0,+G24-K24,0)</f>
        <v>0</v>
      </c>
      <c r="M24" s="419">
        <f t="shared" ref="M24" si="18">+H24</f>
        <v>1193754.0627599962</v>
      </c>
      <c r="N24" s="53">
        <f t="shared" ref="N24" si="19">IF(M24&lt;&gt;0,+H24-M24,0)</f>
        <v>0</v>
      </c>
      <c r="O24" s="53">
        <f t="shared" ref="O24" si="20">+N24-L24</f>
        <v>0</v>
      </c>
      <c r="P24" s="1"/>
    </row>
    <row r="25" spans="2:16">
      <c r="B25" t="str">
        <f t="shared" si="0"/>
        <v/>
      </c>
      <c r="C25" s="49">
        <f>IF(D11="","-",+C24+1)</f>
        <v>2025</v>
      </c>
      <c r="D25" s="435">
        <v>7588794.736326159</v>
      </c>
      <c r="E25" s="434">
        <v>321790.88066666672</v>
      </c>
      <c r="F25" s="435">
        <v>7267003.8556594923</v>
      </c>
      <c r="G25" s="434">
        <v>1171913.4158382551</v>
      </c>
      <c r="H25" s="438">
        <v>1171913.4158382551</v>
      </c>
      <c r="I25" s="51">
        <f t="shared" si="6"/>
        <v>0</v>
      </c>
      <c r="J25" s="51"/>
      <c r="K25" s="419">
        <f t="shared" ref="K25" si="21">+G25</f>
        <v>1171913.4158382551</v>
      </c>
      <c r="L25" s="422">
        <f t="shared" ref="L25" si="22">IF(K25&lt;&gt;0,+G25-K25,0)</f>
        <v>0</v>
      </c>
      <c r="M25" s="419">
        <f t="shared" ref="M25" si="23">+H25</f>
        <v>1171913.4158382551</v>
      </c>
      <c r="N25" s="53">
        <f t="shared" ref="N25" si="24">IF(M25&lt;&gt;0,+H25-M25,0)</f>
        <v>0</v>
      </c>
      <c r="O25" s="53">
        <f t="shared" ref="O25" si="25">+N25-L25</f>
        <v>0</v>
      </c>
      <c r="P25" s="1"/>
    </row>
    <row r="26" spans="2:16">
      <c r="B26" t="str">
        <f t="shared" si="0"/>
        <v/>
      </c>
      <c r="C26" s="49">
        <f>IF(D11="","-",+C25+1)</f>
        <v>2026</v>
      </c>
      <c r="D26" s="54">
        <f>IF(F25+SUM(E$17:E25)=D$10,F25,D$10-SUM(E$17:E25))</f>
        <v>7267003.8556594923</v>
      </c>
      <c r="E26" s="377">
        <f t="shared" ref="E26:E49" si="26">IF(+I$14&lt;F25,I$14,D26)</f>
        <v>321790.88066666672</v>
      </c>
      <c r="F26" s="54">
        <f t="shared" ref="F26:F71" si="27">+D26-E26</f>
        <v>6945212.9749928256</v>
      </c>
      <c r="G26" s="378">
        <f t="shared" ref="G26:G48" si="28">(D26+F26)/2*I$12+E26</f>
        <v>1135084.4729075097</v>
      </c>
      <c r="H26" s="359">
        <f t="shared" ref="H26:H48" si="29">+(D26+F26)/2*I$13+E26</f>
        <v>1135084.4729075097</v>
      </c>
      <c r="I26" s="51">
        <f t="shared" si="6"/>
        <v>0</v>
      </c>
      <c r="J26" s="51"/>
      <c r="K26" s="112"/>
      <c r="L26" s="53">
        <f t="shared" si="2"/>
        <v>0</v>
      </c>
      <c r="M26" s="112"/>
      <c r="N26" s="53">
        <f t="shared" si="4"/>
        <v>0</v>
      </c>
      <c r="O26" s="53">
        <f t="shared" si="5"/>
        <v>0</v>
      </c>
      <c r="P26" s="1"/>
    </row>
    <row r="27" spans="2:16">
      <c r="B27" t="str">
        <f t="shared" si="0"/>
        <v/>
      </c>
      <c r="C27" s="49">
        <f>IF(D11="","-",+C26+1)</f>
        <v>2027</v>
      </c>
      <c r="D27" s="54">
        <f>IF(F26+SUM(E$17:E26)=D$10,F26,D$10-SUM(E$17:E26))</f>
        <v>6945212.9749928256</v>
      </c>
      <c r="E27" s="377">
        <f t="shared" si="26"/>
        <v>321790.88066666672</v>
      </c>
      <c r="F27" s="54">
        <f t="shared" si="27"/>
        <v>6623422.094326159</v>
      </c>
      <c r="G27" s="378">
        <f t="shared" si="28"/>
        <v>1098255.529976764</v>
      </c>
      <c r="H27" s="359">
        <f t="shared" si="29"/>
        <v>1098255.529976764</v>
      </c>
      <c r="I27" s="51">
        <f t="shared" si="6"/>
        <v>0</v>
      </c>
      <c r="J27" s="51"/>
      <c r="K27" s="112"/>
      <c r="L27" s="53">
        <f t="shared" si="2"/>
        <v>0</v>
      </c>
      <c r="M27" s="112"/>
      <c r="N27" s="53">
        <f t="shared" si="4"/>
        <v>0</v>
      </c>
      <c r="O27" s="53">
        <f t="shared" si="5"/>
        <v>0</v>
      </c>
      <c r="P27" s="1"/>
    </row>
    <row r="28" spans="2:16">
      <c r="B28" t="str">
        <f t="shared" si="0"/>
        <v/>
      </c>
      <c r="C28" s="49">
        <f>IF(D11="","-",+C27+1)</f>
        <v>2028</v>
      </c>
      <c r="D28" s="54">
        <f>IF(F27+SUM(E$17:E27)=D$10,F27,D$10-SUM(E$17:E27))</f>
        <v>6623422.094326159</v>
      </c>
      <c r="E28" s="377">
        <f t="shared" si="26"/>
        <v>321790.88066666672</v>
      </c>
      <c r="F28" s="54">
        <f t="shared" si="27"/>
        <v>6301631.2136594923</v>
      </c>
      <c r="G28" s="378">
        <f t="shared" si="28"/>
        <v>1061426.5870460186</v>
      </c>
      <c r="H28" s="359">
        <f t="shared" si="29"/>
        <v>1061426.5870460186</v>
      </c>
      <c r="I28" s="51">
        <f t="shared" si="6"/>
        <v>0</v>
      </c>
      <c r="J28" s="51"/>
      <c r="K28" s="112"/>
      <c r="L28" s="53">
        <f t="shared" si="2"/>
        <v>0</v>
      </c>
      <c r="M28" s="112"/>
      <c r="N28" s="53">
        <f t="shared" si="4"/>
        <v>0</v>
      </c>
      <c r="O28" s="53">
        <f t="shared" si="5"/>
        <v>0</v>
      </c>
      <c r="P28" s="1"/>
    </row>
    <row r="29" spans="2:16">
      <c r="B29" t="str">
        <f t="shared" si="0"/>
        <v/>
      </c>
      <c r="C29" s="49">
        <f>IF(D11="","-",+C28+1)</f>
        <v>2029</v>
      </c>
      <c r="D29" s="54">
        <f>IF(F28+SUM(E$17:E28)=D$10,F28,D$10-SUM(E$17:E28))</f>
        <v>6301631.2136594923</v>
      </c>
      <c r="E29" s="377">
        <f t="shared" si="26"/>
        <v>321790.88066666672</v>
      </c>
      <c r="F29" s="54">
        <f t="shared" si="27"/>
        <v>5979840.3329928257</v>
      </c>
      <c r="G29" s="378">
        <f t="shared" si="28"/>
        <v>1024597.6441152729</v>
      </c>
      <c r="H29" s="359">
        <f t="shared" si="29"/>
        <v>1024597.6441152729</v>
      </c>
      <c r="I29" s="51">
        <f t="shared" si="6"/>
        <v>0</v>
      </c>
      <c r="J29" s="51"/>
      <c r="K29" s="112"/>
      <c r="L29" s="53">
        <f t="shared" si="2"/>
        <v>0</v>
      </c>
      <c r="M29" s="112"/>
      <c r="N29" s="53">
        <f t="shared" si="4"/>
        <v>0</v>
      </c>
      <c r="O29" s="53">
        <f t="shared" si="5"/>
        <v>0</v>
      </c>
      <c r="P29" s="1"/>
    </row>
    <row r="30" spans="2:16">
      <c r="B30" t="str">
        <f t="shared" si="0"/>
        <v/>
      </c>
      <c r="C30" s="49">
        <f>IF(D11="","-",+C29+1)</f>
        <v>2030</v>
      </c>
      <c r="D30" s="54">
        <f>IF(F29+SUM(E$17:E29)=D$10,F29,D$10-SUM(E$17:E29))</f>
        <v>5979840.3329928257</v>
      </c>
      <c r="E30" s="377">
        <f t="shared" si="26"/>
        <v>321790.88066666672</v>
      </c>
      <c r="F30" s="54">
        <f t="shared" si="27"/>
        <v>5658049.452326159</v>
      </c>
      <c r="G30" s="378">
        <f t="shared" si="28"/>
        <v>987768.70118452748</v>
      </c>
      <c r="H30" s="359">
        <f t="shared" si="29"/>
        <v>987768.70118452748</v>
      </c>
      <c r="I30" s="51">
        <f t="shared" si="6"/>
        <v>0</v>
      </c>
      <c r="J30" s="51"/>
      <c r="K30" s="112"/>
      <c r="L30" s="53">
        <f t="shared" si="2"/>
        <v>0</v>
      </c>
      <c r="M30" s="112"/>
      <c r="N30" s="53">
        <f t="shared" si="4"/>
        <v>0</v>
      </c>
      <c r="O30" s="53">
        <f t="shared" si="5"/>
        <v>0</v>
      </c>
      <c r="P30" s="1"/>
    </row>
    <row r="31" spans="2:16">
      <c r="B31" t="str">
        <f t="shared" si="0"/>
        <v/>
      </c>
      <c r="C31" s="49">
        <f>IF(D11="","-",+C30+1)</f>
        <v>2031</v>
      </c>
      <c r="D31" s="54">
        <f>IF(F30+SUM(E$17:E30)=D$10,F30,D$10-SUM(E$17:E30))</f>
        <v>5658049.452326159</v>
      </c>
      <c r="E31" s="377">
        <f t="shared" si="26"/>
        <v>321790.88066666672</v>
      </c>
      <c r="F31" s="54">
        <f t="shared" si="27"/>
        <v>5336258.5716594923</v>
      </c>
      <c r="G31" s="378">
        <f t="shared" si="28"/>
        <v>950939.75825378182</v>
      </c>
      <c r="H31" s="359">
        <f t="shared" si="29"/>
        <v>950939.75825378182</v>
      </c>
      <c r="I31" s="51">
        <f t="shared" si="6"/>
        <v>0</v>
      </c>
      <c r="J31" s="51"/>
      <c r="K31" s="112"/>
      <c r="L31" s="53">
        <f t="shared" si="2"/>
        <v>0</v>
      </c>
      <c r="M31" s="112"/>
      <c r="N31" s="53">
        <f t="shared" si="4"/>
        <v>0</v>
      </c>
      <c r="O31" s="53">
        <f t="shared" si="5"/>
        <v>0</v>
      </c>
      <c r="P31" s="1"/>
    </row>
    <row r="32" spans="2:16">
      <c r="B32" t="str">
        <f t="shared" si="0"/>
        <v/>
      </c>
      <c r="C32" s="49">
        <f>IF(D11="","-",+C31+1)</f>
        <v>2032</v>
      </c>
      <c r="D32" s="54">
        <f>IF(F31+SUM(E$17:E31)=D$10,F31,D$10-SUM(E$17:E31))</f>
        <v>5336258.5716594923</v>
      </c>
      <c r="E32" s="377">
        <f t="shared" si="26"/>
        <v>321790.88066666672</v>
      </c>
      <c r="F32" s="54">
        <f t="shared" si="27"/>
        <v>5014467.6909928257</v>
      </c>
      <c r="G32" s="378">
        <f t="shared" si="28"/>
        <v>914110.8153230364</v>
      </c>
      <c r="H32" s="359">
        <f t="shared" si="29"/>
        <v>914110.8153230364</v>
      </c>
      <c r="I32" s="51">
        <f t="shared" si="6"/>
        <v>0</v>
      </c>
      <c r="J32" s="51"/>
      <c r="K32" s="112"/>
      <c r="L32" s="53">
        <f t="shared" si="2"/>
        <v>0</v>
      </c>
      <c r="M32" s="112"/>
      <c r="N32" s="53">
        <f t="shared" si="4"/>
        <v>0</v>
      </c>
      <c r="O32" s="53">
        <f t="shared" si="5"/>
        <v>0</v>
      </c>
      <c r="P32" s="1"/>
    </row>
    <row r="33" spans="2:16">
      <c r="B33" t="str">
        <f t="shared" si="0"/>
        <v/>
      </c>
      <c r="C33" s="49">
        <f>IF(D11="","-",+C32+1)</f>
        <v>2033</v>
      </c>
      <c r="D33" s="54">
        <f>IF(F32+SUM(E$17:E32)=D$10,F32,D$10-SUM(E$17:E32))</f>
        <v>5014467.6909928257</v>
      </c>
      <c r="E33" s="377">
        <f t="shared" si="26"/>
        <v>321790.88066666672</v>
      </c>
      <c r="F33" s="54">
        <f t="shared" si="27"/>
        <v>4692676.810326159</v>
      </c>
      <c r="G33" s="378">
        <f t="shared" si="28"/>
        <v>877281.87239229074</v>
      </c>
      <c r="H33" s="359">
        <f t="shared" si="29"/>
        <v>877281.87239229074</v>
      </c>
      <c r="I33" s="51">
        <f t="shared" si="6"/>
        <v>0</v>
      </c>
      <c r="J33" s="51"/>
      <c r="K33" s="112"/>
      <c r="L33" s="53">
        <f t="shared" si="2"/>
        <v>0</v>
      </c>
      <c r="M33" s="112"/>
      <c r="N33" s="53">
        <f t="shared" si="4"/>
        <v>0</v>
      </c>
      <c r="O33" s="53">
        <f t="shared" si="5"/>
        <v>0</v>
      </c>
      <c r="P33" s="1"/>
    </row>
    <row r="34" spans="2:16">
      <c r="B34" t="str">
        <f t="shared" si="0"/>
        <v/>
      </c>
      <c r="C34" s="49">
        <f>IF(D11="","-",+C33+1)</f>
        <v>2034</v>
      </c>
      <c r="D34" s="54">
        <f>IF(F33+SUM(E$17:E33)=D$10,F33,D$10-SUM(E$17:E33))</f>
        <v>4692676.810326159</v>
      </c>
      <c r="E34" s="377">
        <f t="shared" si="26"/>
        <v>321790.88066666672</v>
      </c>
      <c r="F34" s="54">
        <f t="shared" si="27"/>
        <v>4370885.9296594923</v>
      </c>
      <c r="G34" s="378">
        <f t="shared" si="28"/>
        <v>840452.92946154531</v>
      </c>
      <c r="H34" s="359">
        <f t="shared" si="29"/>
        <v>840452.92946154531</v>
      </c>
      <c r="I34" s="51">
        <f t="shared" si="6"/>
        <v>0</v>
      </c>
      <c r="J34" s="51"/>
      <c r="K34" s="112"/>
      <c r="L34" s="53">
        <f t="shared" si="2"/>
        <v>0</v>
      </c>
      <c r="M34" s="112"/>
      <c r="N34" s="53">
        <f t="shared" si="4"/>
        <v>0</v>
      </c>
      <c r="O34" s="53">
        <f t="shared" si="5"/>
        <v>0</v>
      </c>
      <c r="P34" s="1"/>
    </row>
    <row r="35" spans="2:16">
      <c r="B35" t="str">
        <f t="shared" si="0"/>
        <v/>
      </c>
      <c r="C35" s="49">
        <f>IF(D11="","-",+C34+1)</f>
        <v>2035</v>
      </c>
      <c r="D35" s="54">
        <f>IF(F34+SUM(E$17:E34)=D$10,F34,D$10-SUM(E$17:E34))</f>
        <v>4370885.9296594923</v>
      </c>
      <c r="E35" s="377">
        <f t="shared" si="26"/>
        <v>321790.88066666672</v>
      </c>
      <c r="F35" s="54">
        <f t="shared" si="27"/>
        <v>4049095.0489928257</v>
      </c>
      <c r="G35" s="378">
        <f t="shared" si="28"/>
        <v>803623.98653079965</v>
      </c>
      <c r="H35" s="359">
        <f t="shared" si="29"/>
        <v>803623.98653079965</v>
      </c>
      <c r="I35" s="51">
        <f t="shared" si="6"/>
        <v>0</v>
      </c>
      <c r="J35" s="51"/>
      <c r="K35" s="112"/>
      <c r="L35" s="53">
        <f t="shared" si="2"/>
        <v>0</v>
      </c>
      <c r="M35" s="112"/>
      <c r="N35" s="53">
        <f t="shared" si="4"/>
        <v>0</v>
      </c>
      <c r="O35" s="53">
        <f t="shared" si="5"/>
        <v>0</v>
      </c>
      <c r="P35" s="1"/>
    </row>
    <row r="36" spans="2:16">
      <c r="B36" t="str">
        <f t="shared" si="0"/>
        <v/>
      </c>
      <c r="C36" s="49">
        <f>IF(D11="","-",+C35+1)</f>
        <v>2036</v>
      </c>
      <c r="D36" s="54">
        <f>IF(F35+SUM(E$17:E35)=D$10,F35,D$10-SUM(E$17:E35))</f>
        <v>4049095.0489928257</v>
      </c>
      <c r="E36" s="377">
        <f t="shared" si="26"/>
        <v>321790.88066666672</v>
      </c>
      <c r="F36" s="54">
        <f t="shared" si="27"/>
        <v>3727304.168326159</v>
      </c>
      <c r="G36" s="378">
        <f t="shared" si="28"/>
        <v>766795.04360005422</v>
      </c>
      <c r="H36" s="359">
        <f t="shared" si="29"/>
        <v>766795.04360005422</v>
      </c>
      <c r="I36" s="51">
        <f t="shared" si="6"/>
        <v>0</v>
      </c>
      <c r="J36" s="51"/>
      <c r="K36" s="112"/>
      <c r="L36" s="53">
        <f t="shared" si="2"/>
        <v>0</v>
      </c>
      <c r="M36" s="112"/>
      <c r="N36" s="53">
        <f t="shared" si="4"/>
        <v>0</v>
      </c>
      <c r="O36" s="53">
        <f t="shared" si="5"/>
        <v>0</v>
      </c>
      <c r="P36" s="1"/>
    </row>
    <row r="37" spans="2:16">
      <c r="B37" t="str">
        <f t="shared" si="0"/>
        <v/>
      </c>
      <c r="C37" s="49">
        <f>IF(D11="","-",+C36+1)</f>
        <v>2037</v>
      </c>
      <c r="D37" s="54">
        <f>IF(F36+SUM(E$17:E36)=D$10,F36,D$10-SUM(E$17:E36))</f>
        <v>3727304.168326159</v>
      </c>
      <c r="E37" s="377">
        <f t="shared" si="26"/>
        <v>321790.88066666672</v>
      </c>
      <c r="F37" s="54">
        <f t="shared" si="27"/>
        <v>3405513.2876594923</v>
      </c>
      <c r="G37" s="378">
        <f t="shared" si="28"/>
        <v>729966.10066930857</v>
      </c>
      <c r="H37" s="359">
        <f t="shared" si="29"/>
        <v>729966.10066930857</v>
      </c>
      <c r="I37" s="51">
        <f t="shared" si="6"/>
        <v>0</v>
      </c>
      <c r="J37" s="51"/>
      <c r="K37" s="112"/>
      <c r="L37" s="53">
        <f t="shared" si="2"/>
        <v>0</v>
      </c>
      <c r="M37" s="112"/>
      <c r="N37" s="53">
        <f t="shared" si="4"/>
        <v>0</v>
      </c>
      <c r="O37" s="53">
        <f t="shared" si="5"/>
        <v>0</v>
      </c>
      <c r="P37" s="1"/>
    </row>
    <row r="38" spans="2:16">
      <c r="B38" t="str">
        <f t="shared" si="0"/>
        <v/>
      </c>
      <c r="C38" s="49">
        <f>IF(D11="","-",+C37+1)</f>
        <v>2038</v>
      </c>
      <c r="D38" s="54">
        <f>IF(F37+SUM(E$17:E37)=D$10,F37,D$10-SUM(E$17:E37))</f>
        <v>3405513.2876594923</v>
      </c>
      <c r="E38" s="377">
        <f t="shared" si="26"/>
        <v>321790.88066666672</v>
      </c>
      <c r="F38" s="54">
        <f t="shared" si="27"/>
        <v>3083722.4069928257</v>
      </c>
      <c r="G38" s="378">
        <f t="shared" si="28"/>
        <v>693137.15773856314</v>
      </c>
      <c r="H38" s="359">
        <f t="shared" si="29"/>
        <v>693137.15773856314</v>
      </c>
      <c r="I38" s="51">
        <f t="shared" si="6"/>
        <v>0</v>
      </c>
      <c r="J38" s="51"/>
      <c r="K38" s="112"/>
      <c r="L38" s="53">
        <f t="shared" si="2"/>
        <v>0</v>
      </c>
      <c r="M38" s="112"/>
      <c r="N38" s="53">
        <f t="shared" si="4"/>
        <v>0</v>
      </c>
      <c r="O38" s="53">
        <f t="shared" si="5"/>
        <v>0</v>
      </c>
      <c r="P38" s="1"/>
    </row>
    <row r="39" spans="2:16">
      <c r="B39" t="str">
        <f t="shared" si="0"/>
        <v/>
      </c>
      <c r="C39" s="49">
        <f>IF(D11="","-",+C38+1)</f>
        <v>2039</v>
      </c>
      <c r="D39" s="54">
        <f>IF(F38+SUM(E$17:E38)=D$10,F38,D$10-SUM(E$17:E38))</f>
        <v>3083722.4069928257</v>
      </c>
      <c r="E39" s="377">
        <f t="shared" si="26"/>
        <v>321790.88066666672</v>
      </c>
      <c r="F39" s="54">
        <f t="shared" si="27"/>
        <v>2761931.526326159</v>
      </c>
      <c r="G39" s="378">
        <f t="shared" si="28"/>
        <v>656308.21480781748</v>
      </c>
      <c r="H39" s="359">
        <f t="shared" si="29"/>
        <v>656308.21480781748</v>
      </c>
      <c r="I39" s="51">
        <f t="shared" si="6"/>
        <v>0</v>
      </c>
      <c r="J39" s="51"/>
      <c r="K39" s="112"/>
      <c r="L39" s="53">
        <f t="shared" si="2"/>
        <v>0</v>
      </c>
      <c r="M39" s="112"/>
      <c r="N39" s="53">
        <f t="shared" si="4"/>
        <v>0</v>
      </c>
      <c r="O39" s="53">
        <f t="shared" si="5"/>
        <v>0</v>
      </c>
      <c r="P39" s="1"/>
    </row>
    <row r="40" spans="2:16">
      <c r="B40" t="str">
        <f t="shared" si="0"/>
        <v/>
      </c>
      <c r="C40" s="49">
        <f>IF(D11="","-",+C39+1)</f>
        <v>2040</v>
      </c>
      <c r="D40" s="54">
        <f>IF(F39+SUM(E$17:E39)=D$10,F39,D$10-SUM(E$17:E39))</f>
        <v>2761931.526326159</v>
      </c>
      <c r="E40" s="377">
        <f t="shared" si="26"/>
        <v>321790.88066666672</v>
      </c>
      <c r="F40" s="54">
        <f t="shared" si="27"/>
        <v>2440140.6456594924</v>
      </c>
      <c r="G40" s="378">
        <f t="shared" si="28"/>
        <v>619479.27187707205</v>
      </c>
      <c r="H40" s="359">
        <f t="shared" si="29"/>
        <v>619479.27187707205</v>
      </c>
      <c r="I40" s="51">
        <f t="shared" si="6"/>
        <v>0</v>
      </c>
      <c r="J40" s="51"/>
      <c r="K40" s="112"/>
      <c r="L40" s="53">
        <f t="shared" si="2"/>
        <v>0</v>
      </c>
      <c r="M40" s="112"/>
      <c r="N40" s="53">
        <f t="shared" si="4"/>
        <v>0</v>
      </c>
      <c r="O40" s="53">
        <f t="shared" si="5"/>
        <v>0</v>
      </c>
      <c r="P40" s="1"/>
    </row>
    <row r="41" spans="2:16">
      <c r="B41" t="str">
        <f t="shared" si="0"/>
        <v/>
      </c>
      <c r="C41" s="49">
        <f>IF(D11="","-",+C40+1)</f>
        <v>2041</v>
      </c>
      <c r="D41" s="54">
        <f>IF(F40+SUM(E$17:E40)=D$10,F40,D$10-SUM(E$17:E40))</f>
        <v>2440140.6456594924</v>
      </c>
      <c r="E41" s="377">
        <f t="shared" si="26"/>
        <v>321790.88066666672</v>
      </c>
      <c r="F41" s="54">
        <f t="shared" si="27"/>
        <v>2118349.7649928257</v>
      </c>
      <c r="G41" s="378">
        <f t="shared" si="28"/>
        <v>582650.32894632651</v>
      </c>
      <c r="H41" s="359">
        <f t="shared" si="29"/>
        <v>582650.32894632651</v>
      </c>
      <c r="I41" s="51">
        <f t="shared" si="6"/>
        <v>0</v>
      </c>
      <c r="J41" s="51"/>
      <c r="K41" s="112"/>
      <c r="L41" s="53">
        <f t="shared" si="2"/>
        <v>0</v>
      </c>
      <c r="M41" s="112"/>
      <c r="N41" s="53">
        <f t="shared" si="4"/>
        <v>0</v>
      </c>
      <c r="O41" s="53">
        <f t="shared" si="5"/>
        <v>0</v>
      </c>
      <c r="P41" s="1"/>
    </row>
    <row r="42" spans="2:16">
      <c r="B42" t="str">
        <f t="shared" si="0"/>
        <v/>
      </c>
      <c r="C42" s="49">
        <f>IF(D11="","-",+C41+1)</f>
        <v>2042</v>
      </c>
      <c r="D42" s="54">
        <f>IF(F41+SUM(E$17:E41)=D$10,F41,D$10-SUM(E$17:E41))</f>
        <v>2118349.7649928257</v>
      </c>
      <c r="E42" s="377">
        <f t="shared" si="26"/>
        <v>321790.88066666672</v>
      </c>
      <c r="F42" s="54">
        <f t="shared" si="27"/>
        <v>1796558.884326159</v>
      </c>
      <c r="G42" s="378">
        <f t="shared" si="28"/>
        <v>545821.38601558097</v>
      </c>
      <c r="H42" s="359">
        <f t="shared" si="29"/>
        <v>545821.38601558097</v>
      </c>
      <c r="I42" s="51">
        <f t="shared" si="6"/>
        <v>0</v>
      </c>
      <c r="J42" s="51"/>
      <c r="K42" s="112"/>
      <c r="L42" s="53">
        <f t="shared" si="2"/>
        <v>0</v>
      </c>
      <c r="M42" s="112"/>
      <c r="N42" s="53">
        <f t="shared" si="4"/>
        <v>0</v>
      </c>
      <c r="O42" s="53">
        <f t="shared" si="5"/>
        <v>0</v>
      </c>
      <c r="P42" s="1"/>
    </row>
    <row r="43" spans="2:16">
      <c r="B43" t="str">
        <f t="shared" si="0"/>
        <v/>
      </c>
      <c r="C43" s="49">
        <f>IF(D11="","-",+C42+1)</f>
        <v>2043</v>
      </c>
      <c r="D43" s="54">
        <f>IF(F42+SUM(E$17:E42)=D$10,F42,D$10-SUM(E$17:E42))</f>
        <v>1796558.884326159</v>
      </c>
      <c r="E43" s="377">
        <f t="shared" si="26"/>
        <v>321790.88066666672</v>
      </c>
      <c r="F43" s="54">
        <f t="shared" si="27"/>
        <v>1474768.0036594924</v>
      </c>
      <c r="G43" s="378">
        <f t="shared" si="28"/>
        <v>508992.44308483542</v>
      </c>
      <c r="H43" s="359">
        <f t="shared" si="29"/>
        <v>508992.44308483542</v>
      </c>
      <c r="I43" s="51">
        <f t="shared" si="6"/>
        <v>0</v>
      </c>
      <c r="J43" s="51"/>
      <c r="K43" s="112"/>
      <c r="L43" s="53">
        <f t="shared" si="2"/>
        <v>0</v>
      </c>
      <c r="M43" s="112"/>
      <c r="N43" s="53">
        <f t="shared" si="4"/>
        <v>0</v>
      </c>
      <c r="O43" s="53">
        <f t="shared" si="5"/>
        <v>0</v>
      </c>
      <c r="P43" s="1"/>
    </row>
    <row r="44" spans="2:16">
      <c r="B44" t="str">
        <f t="shared" si="0"/>
        <v/>
      </c>
      <c r="C44" s="49">
        <f>IF(D11="","-",+C43+1)</f>
        <v>2044</v>
      </c>
      <c r="D44" s="54">
        <f>IF(F43+SUM(E$17:E43)=D$10,F43,D$10-SUM(E$17:E43))</f>
        <v>1474768.0036594924</v>
      </c>
      <c r="E44" s="377">
        <f t="shared" si="26"/>
        <v>321790.88066666672</v>
      </c>
      <c r="F44" s="54">
        <f t="shared" si="27"/>
        <v>1152977.1229928257</v>
      </c>
      <c r="G44" s="378">
        <f t="shared" si="28"/>
        <v>472163.50015408988</v>
      </c>
      <c r="H44" s="359">
        <f t="shared" si="29"/>
        <v>472163.50015408988</v>
      </c>
      <c r="I44" s="51">
        <f t="shared" si="6"/>
        <v>0</v>
      </c>
      <c r="J44" s="51"/>
      <c r="K44" s="112"/>
      <c r="L44" s="53">
        <f t="shared" si="2"/>
        <v>0</v>
      </c>
      <c r="M44" s="112"/>
      <c r="N44" s="53">
        <f t="shared" si="4"/>
        <v>0</v>
      </c>
      <c r="O44" s="53">
        <f t="shared" si="5"/>
        <v>0</v>
      </c>
      <c r="P44" s="1"/>
    </row>
    <row r="45" spans="2:16">
      <c r="B45" t="str">
        <f t="shared" si="0"/>
        <v/>
      </c>
      <c r="C45" s="49">
        <f>IF(D11="","-",+C44+1)</f>
        <v>2045</v>
      </c>
      <c r="D45" s="54">
        <f>IF(F44+SUM(E$17:E44)=D$10,F44,D$10-SUM(E$17:E44))</f>
        <v>1152977.1229928257</v>
      </c>
      <c r="E45" s="377">
        <f t="shared" si="26"/>
        <v>321790.88066666672</v>
      </c>
      <c r="F45" s="54">
        <f t="shared" si="27"/>
        <v>831186.24232615903</v>
      </c>
      <c r="G45" s="378">
        <f t="shared" si="28"/>
        <v>435334.55722334434</v>
      </c>
      <c r="H45" s="359">
        <f t="shared" si="29"/>
        <v>435334.55722334434</v>
      </c>
      <c r="I45" s="51">
        <f t="shared" si="6"/>
        <v>0</v>
      </c>
      <c r="J45" s="51"/>
      <c r="K45" s="112"/>
      <c r="L45" s="53">
        <f t="shared" si="2"/>
        <v>0</v>
      </c>
      <c r="M45" s="112"/>
      <c r="N45" s="53">
        <f t="shared" si="4"/>
        <v>0</v>
      </c>
      <c r="O45" s="53">
        <f t="shared" si="5"/>
        <v>0</v>
      </c>
      <c r="P45" s="1"/>
    </row>
    <row r="46" spans="2:16">
      <c r="B46" t="str">
        <f t="shared" si="0"/>
        <v/>
      </c>
      <c r="C46" s="49">
        <f>IF(D11="","-",+C45+1)</f>
        <v>2046</v>
      </c>
      <c r="D46" s="54">
        <f>IF(F45+SUM(E$17:E45)=D$10,F45,D$10-SUM(E$17:E45))</f>
        <v>831186.24232615903</v>
      </c>
      <c r="E46" s="377">
        <f t="shared" si="26"/>
        <v>321790.88066666672</v>
      </c>
      <c r="F46" s="54">
        <f t="shared" si="27"/>
        <v>509395.36165949231</v>
      </c>
      <c r="G46" s="378">
        <f t="shared" si="28"/>
        <v>398505.6142925988</v>
      </c>
      <c r="H46" s="359">
        <f t="shared" si="29"/>
        <v>398505.6142925988</v>
      </c>
      <c r="I46" s="51">
        <f t="shared" si="6"/>
        <v>0</v>
      </c>
      <c r="J46" s="51"/>
      <c r="K46" s="112"/>
      <c r="L46" s="53">
        <f t="shared" si="2"/>
        <v>0</v>
      </c>
      <c r="M46" s="112"/>
      <c r="N46" s="53">
        <f t="shared" si="4"/>
        <v>0</v>
      </c>
      <c r="O46" s="53">
        <f t="shared" si="5"/>
        <v>0</v>
      </c>
      <c r="P46" s="1"/>
    </row>
    <row r="47" spans="2:16">
      <c r="B47" t="str">
        <f t="shared" si="0"/>
        <v/>
      </c>
      <c r="C47" s="49">
        <f>IF(D11="","-",+C46+1)</f>
        <v>2047</v>
      </c>
      <c r="D47" s="54">
        <f>IF(F46+SUM(E$17:E46)=D$10,F46,D$10-SUM(E$17:E46))</f>
        <v>509395.36165949231</v>
      </c>
      <c r="E47" s="377">
        <f t="shared" si="26"/>
        <v>321790.88066666672</v>
      </c>
      <c r="F47" s="54">
        <f t="shared" si="27"/>
        <v>187604.48099282559</v>
      </c>
      <c r="G47" s="378">
        <f t="shared" si="28"/>
        <v>361676.67136185325</v>
      </c>
      <c r="H47" s="359">
        <f t="shared" si="29"/>
        <v>361676.67136185325</v>
      </c>
      <c r="I47" s="51">
        <f t="shared" si="6"/>
        <v>0</v>
      </c>
      <c r="J47" s="51"/>
      <c r="K47" s="112"/>
      <c r="L47" s="53">
        <f t="shared" si="2"/>
        <v>0</v>
      </c>
      <c r="M47" s="112"/>
      <c r="N47" s="53">
        <f t="shared" si="4"/>
        <v>0</v>
      </c>
      <c r="O47" s="53">
        <f t="shared" si="5"/>
        <v>0</v>
      </c>
      <c r="P47" s="1"/>
    </row>
    <row r="48" spans="2:16">
      <c r="B48" t="str">
        <f t="shared" si="0"/>
        <v>IU</v>
      </c>
      <c r="C48" s="49">
        <f>IF(D11="","-",+C47+1)</f>
        <v>2048</v>
      </c>
      <c r="D48" s="54">
        <f>IF(F47+SUM(E$17:E47)=D$10,F47,D$10-SUM(E$17:E47))</f>
        <v>187604.48099282198</v>
      </c>
      <c r="E48" s="377">
        <f t="shared" si="26"/>
        <v>187604.48099282198</v>
      </c>
      <c r="F48" s="54">
        <f t="shared" si="27"/>
        <v>0</v>
      </c>
      <c r="G48" s="378">
        <f t="shared" si="28"/>
        <v>198340.14060772865</v>
      </c>
      <c r="H48" s="359">
        <f t="shared" si="29"/>
        <v>198340.14060772865</v>
      </c>
      <c r="I48" s="51">
        <f t="shared" si="6"/>
        <v>0</v>
      </c>
      <c r="J48" s="51"/>
      <c r="K48" s="112"/>
      <c r="L48" s="53">
        <f t="shared" si="2"/>
        <v>0</v>
      </c>
      <c r="M48" s="112"/>
      <c r="N48" s="53">
        <f t="shared" si="4"/>
        <v>0</v>
      </c>
      <c r="O48" s="53">
        <f t="shared" si="5"/>
        <v>0</v>
      </c>
      <c r="P48" s="1"/>
    </row>
    <row r="49" spans="2:16">
      <c r="B49" t="str">
        <f t="shared" si="0"/>
        <v/>
      </c>
      <c r="C49" s="49">
        <f>IF(D11="","-",+C48+1)</f>
        <v>2049</v>
      </c>
      <c r="D49" s="54">
        <f>IF(F48+SUM(E$17:E48)=D$10,F48,D$10-SUM(E$17:E48))</f>
        <v>0</v>
      </c>
      <c r="E49" s="377">
        <f t="shared" si="26"/>
        <v>0</v>
      </c>
      <c r="F49" s="54">
        <f t="shared" si="27"/>
        <v>0</v>
      </c>
      <c r="G49" s="378">
        <f t="shared" ref="G49:G71" si="30">(D49+F49)/2*I$12+E49</f>
        <v>0</v>
      </c>
      <c r="H49" s="359">
        <f t="shared" ref="H49:H71" si="31">+(D49+F49)/2*I$13+E49</f>
        <v>0</v>
      </c>
      <c r="I49" s="51">
        <f t="shared" si="6"/>
        <v>0</v>
      </c>
      <c r="J49" s="51"/>
      <c r="K49" s="112"/>
      <c r="L49" s="53">
        <f t="shared" si="2"/>
        <v>0</v>
      </c>
      <c r="M49" s="112"/>
      <c r="N49" s="53">
        <f t="shared" si="4"/>
        <v>0</v>
      </c>
      <c r="O49" s="53">
        <f t="shared" si="5"/>
        <v>0</v>
      </c>
      <c r="P49" s="1"/>
    </row>
    <row r="50" spans="2:16">
      <c r="B50" t="str">
        <f t="shared" si="0"/>
        <v/>
      </c>
      <c r="C50" s="49">
        <f>IF(D11="","-",+C49+1)</f>
        <v>2050</v>
      </c>
      <c r="D50" s="54">
        <f>IF(F49+SUM(E$17:E49)=D$10,F49,D$10-SUM(E$17:E49))</f>
        <v>0</v>
      </c>
      <c r="E50" s="377">
        <f t="shared" ref="E50:E71" si="32">IF(+I$14&lt;F49,I$14,D50)</f>
        <v>0</v>
      </c>
      <c r="F50" s="54">
        <f t="shared" si="27"/>
        <v>0</v>
      </c>
      <c r="G50" s="378">
        <f t="shared" si="30"/>
        <v>0</v>
      </c>
      <c r="H50" s="359">
        <f t="shared" si="31"/>
        <v>0</v>
      </c>
      <c r="I50" s="51">
        <f t="shared" si="6"/>
        <v>0</v>
      </c>
      <c r="J50" s="51"/>
      <c r="K50" s="112"/>
      <c r="L50" s="53">
        <f t="shared" si="2"/>
        <v>0</v>
      </c>
      <c r="M50" s="112"/>
      <c r="N50" s="53">
        <f t="shared" si="4"/>
        <v>0</v>
      </c>
      <c r="O50" s="53">
        <f t="shared" si="5"/>
        <v>0</v>
      </c>
      <c r="P50" s="1"/>
    </row>
    <row r="51" spans="2:16">
      <c r="B51" t="str">
        <f t="shared" si="0"/>
        <v/>
      </c>
      <c r="C51" s="49">
        <f>IF(D11="","-",+C50+1)</f>
        <v>2051</v>
      </c>
      <c r="D51" s="54">
        <f>IF(F50+SUM(E$17:E50)=D$10,F50,D$10-SUM(E$17:E50))</f>
        <v>0</v>
      </c>
      <c r="E51" s="377">
        <f t="shared" si="32"/>
        <v>0</v>
      </c>
      <c r="F51" s="54">
        <f t="shared" si="27"/>
        <v>0</v>
      </c>
      <c r="G51" s="378">
        <f t="shared" si="30"/>
        <v>0</v>
      </c>
      <c r="H51" s="359">
        <f t="shared" si="31"/>
        <v>0</v>
      </c>
      <c r="I51" s="51">
        <f t="shared" si="6"/>
        <v>0</v>
      </c>
      <c r="J51" s="51"/>
      <c r="K51" s="112"/>
      <c r="L51" s="53">
        <f t="shared" si="2"/>
        <v>0</v>
      </c>
      <c r="M51" s="112"/>
      <c r="N51" s="53">
        <f t="shared" si="4"/>
        <v>0</v>
      </c>
      <c r="O51" s="53">
        <f t="shared" si="5"/>
        <v>0</v>
      </c>
      <c r="P51" s="1"/>
    </row>
    <row r="52" spans="2:16">
      <c r="B52" t="str">
        <f t="shared" si="0"/>
        <v/>
      </c>
      <c r="C52" s="49">
        <f>IF(D11="","-",+C51+1)</f>
        <v>2052</v>
      </c>
      <c r="D52" s="54">
        <f>IF(F51+SUM(E$17:E51)=D$10,F51,D$10-SUM(E$17:E51))</f>
        <v>0</v>
      </c>
      <c r="E52" s="377">
        <f t="shared" si="32"/>
        <v>0</v>
      </c>
      <c r="F52" s="54">
        <f t="shared" si="27"/>
        <v>0</v>
      </c>
      <c r="G52" s="378">
        <f t="shared" si="30"/>
        <v>0</v>
      </c>
      <c r="H52" s="359">
        <f t="shared" si="31"/>
        <v>0</v>
      </c>
      <c r="I52" s="51">
        <f t="shared" si="6"/>
        <v>0</v>
      </c>
      <c r="J52" s="51"/>
      <c r="K52" s="112"/>
      <c r="L52" s="53">
        <f t="shared" si="2"/>
        <v>0</v>
      </c>
      <c r="M52" s="112"/>
      <c r="N52" s="53">
        <f t="shared" si="4"/>
        <v>0</v>
      </c>
      <c r="O52" s="53">
        <f t="shared" si="5"/>
        <v>0</v>
      </c>
      <c r="P52" s="1"/>
    </row>
    <row r="53" spans="2:16">
      <c r="B53" t="str">
        <f t="shared" si="0"/>
        <v/>
      </c>
      <c r="C53" s="49">
        <f>IF(D11="","-",+C52+1)</f>
        <v>2053</v>
      </c>
      <c r="D53" s="54">
        <f>IF(F52+SUM(E$17:E52)=D$10,F52,D$10-SUM(E$17:E52))</f>
        <v>0</v>
      </c>
      <c r="E53" s="377">
        <f t="shared" si="32"/>
        <v>0</v>
      </c>
      <c r="F53" s="54">
        <f t="shared" si="27"/>
        <v>0</v>
      </c>
      <c r="G53" s="378">
        <f t="shared" si="30"/>
        <v>0</v>
      </c>
      <c r="H53" s="359">
        <f t="shared" si="31"/>
        <v>0</v>
      </c>
      <c r="I53" s="51">
        <f t="shared" si="6"/>
        <v>0</v>
      </c>
      <c r="J53" s="51"/>
      <c r="K53" s="112"/>
      <c r="L53" s="53">
        <f t="shared" si="2"/>
        <v>0</v>
      </c>
      <c r="M53" s="112"/>
      <c r="N53" s="53">
        <f t="shared" si="4"/>
        <v>0</v>
      </c>
      <c r="O53" s="53">
        <f t="shared" si="5"/>
        <v>0</v>
      </c>
      <c r="P53" s="1"/>
    </row>
    <row r="54" spans="2:16">
      <c r="B54" t="str">
        <f t="shared" si="0"/>
        <v/>
      </c>
      <c r="C54" s="49">
        <f>IF(D11="","-",+C53+1)</f>
        <v>2054</v>
      </c>
      <c r="D54" s="54">
        <f>IF(F53+SUM(E$17:E53)=D$10,F53,D$10-SUM(E$17:E53))</f>
        <v>0</v>
      </c>
      <c r="E54" s="377">
        <f t="shared" si="32"/>
        <v>0</v>
      </c>
      <c r="F54" s="54">
        <f t="shared" si="27"/>
        <v>0</v>
      </c>
      <c r="G54" s="378">
        <f t="shared" si="30"/>
        <v>0</v>
      </c>
      <c r="H54" s="359">
        <f t="shared" si="31"/>
        <v>0</v>
      </c>
      <c r="I54" s="51">
        <f t="shared" si="6"/>
        <v>0</v>
      </c>
      <c r="J54" s="51"/>
      <c r="K54" s="112"/>
      <c r="L54" s="53">
        <f t="shared" si="2"/>
        <v>0</v>
      </c>
      <c r="M54" s="112"/>
      <c r="N54" s="53">
        <f t="shared" si="4"/>
        <v>0</v>
      </c>
      <c r="O54" s="53">
        <f t="shared" si="5"/>
        <v>0</v>
      </c>
      <c r="P54" s="1"/>
    </row>
    <row r="55" spans="2:16">
      <c r="B55" t="str">
        <f t="shared" si="0"/>
        <v/>
      </c>
      <c r="C55" s="49">
        <f>IF(D11="","-",+C54+1)</f>
        <v>2055</v>
      </c>
      <c r="D55" s="54">
        <f>IF(F54+SUM(E$17:E54)=D$10,F54,D$10-SUM(E$17:E54))</f>
        <v>0</v>
      </c>
      <c r="E55" s="377">
        <f t="shared" si="32"/>
        <v>0</v>
      </c>
      <c r="F55" s="54">
        <f t="shared" si="27"/>
        <v>0</v>
      </c>
      <c r="G55" s="378">
        <f t="shared" si="30"/>
        <v>0</v>
      </c>
      <c r="H55" s="359">
        <f t="shared" si="31"/>
        <v>0</v>
      </c>
      <c r="I55" s="51">
        <f t="shared" si="6"/>
        <v>0</v>
      </c>
      <c r="J55" s="51"/>
      <c r="K55" s="112"/>
      <c r="L55" s="53">
        <f t="shared" si="2"/>
        <v>0</v>
      </c>
      <c r="M55" s="112"/>
      <c r="N55" s="53">
        <f t="shared" si="4"/>
        <v>0</v>
      </c>
      <c r="O55" s="53">
        <f t="shared" si="5"/>
        <v>0</v>
      </c>
      <c r="P55" s="1"/>
    </row>
    <row r="56" spans="2:16">
      <c r="B56" t="str">
        <f t="shared" si="0"/>
        <v/>
      </c>
      <c r="C56" s="49">
        <f>IF(D11="","-",+C55+1)</f>
        <v>2056</v>
      </c>
      <c r="D56" s="54">
        <f>IF(F55+SUM(E$17:E55)=D$10,F55,D$10-SUM(E$17:E55))</f>
        <v>0</v>
      </c>
      <c r="E56" s="377">
        <f t="shared" si="32"/>
        <v>0</v>
      </c>
      <c r="F56" s="54">
        <f t="shared" si="27"/>
        <v>0</v>
      </c>
      <c r="G56" s="378">
        <f t="shared" si="30"/>
        <v>0</v>
      </c>
      <c r="H56" s="359">
        <f t="shared" si="31"/>
        <v>0</v>
      </c>
      <c r="I56" s="51">
        <f t="shared" si="6"/>
        <v>0</v>
      </c>
      <c r="J56" s="51"/>
      <c r="K56" s="112"/>
      <c r="L56" s="53">
        <f t="shared" si="2"/>
        <v>0</v>
      </c>
      <c r="M56" s="112"/>
      <c r="N56" s="53">
        <f t="shared" si="4"/>
        <v>0</v>
      </c>
      <c r="O56" s="53">
        <f t="shared" si="5"/>
        <v>0</v>
      </c>
      <c r="P56" s="1"/>
    </row>
    <row r="57" spans="2:16">
      <c r="B57" t="str">
        <f t="shared" si="0"/>
        <v/>
      </c>
      <c r="C57" s="49">
        <f>IF(D11="","-",+C56+1)</f>
        <v>2057</v>
      </c>
      <c r="D57" s="54">
        <f>IF(F56+SUM(E$17:E56)=D$10,F56,D$10-SUM(E$17:E56))</f>
        <v>0</v>
      </c>
      <c r="E57" s="377">
        <f t="shared" si="32"/>
        <v>0</v>
      </c>
      <c r="F57" s="54">
        <f t="shared" si="27"/>
        <v>0</v>
      </c>
      <c r="G57" s="378">
        <f t="shared" si="30"/>
        <v>0</v>
      </c>
      <c r="H57" s="359">
        <f t="shared" si="31"/>
        <v>0</v>
      </c>
      <c r="I57" s="51">
        <f t="shared" si="6"/>
        <v>0</v>
      </c>
      <c r="J57" s="51"/>
      <c r="K57" s="112"/>
      <c r="L57" s="53">
        <f t="shared" si="2"/>
        <v>0</v>
      </c>
      <c r="M57" s="112"/>
      <c r="N57" s="53">
        <f t="shared" si="4"/>
        <v>0</v>
      </c>
      <c r="O57" s="53">
        <f t="shared" si="5"/>
        <v>0</v>
      </c>
      <c r="P57" s="1"/>
    </row>
    <row r="58" spans="2:16">
      <c r="B58" t="str">
        <f t="shared" si="0"/>
        <v/>
      </c>
      <c r="C58" s="49">
        <f>IF(D11="","-",+C57+1)</f>
        <v>2058</v>
      </c>
      <c r="D58" s="54">
        <f>IF(F57+SUM(E$17:E57)=D$10,F57,D$10-SUM(E$17:E57))</f>
        <v>0</v>
      </c>
      <c r="E58" s="377">
        <f t="shared" si="32"/>
        <v>0</v>
      </c>
      <c r="F58" s="54">
        <f t="shared" si="27"/>
        <v>0</v>
      </c>
      <c r="G58" s="378">
        <f t="shared" si="30"/>
        <v>0</v>
      </c>
      <c r="H58" s="359">
        <f t="shared" si="31"/>
        <v>0</v>
      </c>
      <c r="I58" s="51">
        <f t="shared" si="6"/>
        <v>0</v>
      </c>
      <c r="J58" s="51"/>
      <c r="K58" s="112"/>
      <c r="L58" s="53">
        <f t="shared" si="2"/>
        <v>0</v>
      </c>
      <c r="M58" s="112"/>
      <c r="N58" s="53">
        <f t="shared" si="4"/>
        <v>0</v>
      </c>
      <c r="O58" s="53">
        <f t="shared" si="5"/>
        <v>0</v>
      </c>
      <c r="P58" s="1"/>
    </row>
    <row r="59" spans="2:16">
      <c r="B59" t="str">
        <f t="shared" si="0"/>
        <v/>
      </c>
      <c r="C59" s="49">
        <f>IF(D11="","-",+C58+1)</f>
        <v>2059</v>
      </c>
      <c r="D59" s="54">
        <f>IF(F58+SUM(E$17:E58)=D$10,F58,D$10-SUM(E$17:E58))</f>
        <v>0</v>
      </c>
      <c r="E59" s="377">
        <f t="shared" si="32"/>
        <v>0</v>
      </c>
      <c r="F59" s="54">
        <f t="shared" si="27"/>
        <v>0</v>
      </c>
      <c r="G59" s="378">
        <f t="shared" si="30"/>
        <v>0</v>
      </c>
      <c r="H59" s="359">
        <f t="shared" si="31"/>
        <v>0</v>
      </c>
      <c r="I59" s="51">
        <f t="shared" si="6"/>
        <v>0</v>
      </c>
      <c r="J59" s="51"/>
      <c r="K59" s="112"/>
      <c r="L59" s="53">
        <f t="shared" si="2"/>
        <v>0</v>
      </c>
      <c r="M59" s="112"/>
      <c r="N59" s="53">
        <f t="shared" si="4"/>
        <v>0</v>
      </c>
      <c r="O59" s="53">
        <f t="shared" si="5"/>
        <v>0</v>
      </c>
      <c r="P59" s="1"/>
    </row>
    <row r="60" spans="2:16">
      <c r="B60" t="str">
        <f t="shared" si="0"/>
        <v/>
      </c>
      <c r="C60" s="49">
        <f>IF(D11="","-",+C59+1)</f>
        <v>2060</v>
      </c>
      <c r="D60" s="54">
        <f>IF(F59+SUM(E$17:E59)=D$10,F59,D$10-SUM(E$17:E59))</f>
        <v>0</v>
      </c>
      <c r="E60" s="377">
        <f t="shared" si="32"/>
        <v>0</v>
      </c>
      <c r="F60" s="54">
        <f t="shared" si="27"/>
        <v>0</v>
      </c>
      <c r="G60" s="378">
        <f t="shared" si="30"/>
        <v>0</v>
      </c>
      <c r="H60" s="359">
        <f t="shared" si="31"/>
        <v>0</v>
      </c>
      <c r="I60" s="51">
        <f t="shared" si="6"/>
        <v>0</v>
      </c>
      <c r="J60" s="51"/>
      <c r="K60" s="112"/>
      <c r="L60" s="53">
        <f t="shared" si="2"/>
        <v>0</v>
      </c>
      <c r="M60" s="112"/>
      <c r="N60" s="53">
        <f t="shared" si="4"/>
        <v>0</v>
      </c>
      <c r="O60" s="53">
        <f t="shared" si="5"/>
        <v>0</v>
      </c>
      <c r="P60" s="1"/>
    </row>
    <row r="61" spans="2:16">
      <c r="B61" t="str">
        <f t="shared" si="0"/>
        <v/>
      </c>
      <c r="C61" s="49">
        <f>IF(D11="","-",+C60+1)</f>
        <v>2061</v>
      </c>
      <c r="D61" s="54">
        <f>IF(F60+SUM(E$17:E60)=D$10,F60,D$10-SUM(E$17:E60))</f>
        <v>0</v>
      </c>
      <c r="E61" s="377">
        <f t="shared" si="32"/>
        <v>0</v>
      </c>
      <c r="F61" s="54">
        <f t="shared" si="27"/>
        <v>0</v>
      </c>
      <c r="G61" s="388">
        <f t="shared" si="30"/>
        <v>0</v>
      </c>
      <c r="H61" s="359">
        <f t="shared" si="31"/>
        <v>0</v>
      </c>
      <c r="I61" s="51">
        <f t="shared" si="6"/>
        <v>0</v>
      </c>
      <c r="J61" s="51"/>
      <c r="K61" s="112"/>
      <c r="L61" s="53">
        <f t="shared" si="2"/>
        <v>0</v>
      </c>
      <c r="M61" s="112"/>
      <c r="N61" s="53">
        <f t="shared" si="4"/>
        <v>0</v>
      </c>
      <c r="O61" s="53">
        <f t="shared" si="5"/>
        <v>0</v>
      </c>
      <c r="P61" s="1"/>
    </row>
    <row r="62" spans="2:16">
      <c r="B62" t="str">
        <f t="shared" si="0"/>
        <v/>
      </c>
      <c r="C62" s="49">
        <f>IF(D11="","-",+C61+1)</f>
        <v>2062</v>
      </c>
      <c r="D62" s="54">
        <f>IF(F61+SUM(E$17:E61)=D$10,F61,D$10-SUM(E$17:E61))</f>
        <v>0</v>
      </c>
      <c r="E62" s="377">
        <f t="shared" si="32"/>
        <v>0</v>
      </c>
      <c r="F62" s="54">
        <f t="shared" si="27"/>
        <v>0</v>
      </c>
      <c r="G62" s="388">
        <f t="shared" si="30"/>
        <v>0</v>
      </c>
      <c r="H62" s="359">
        <f t="shared" si="31"/>
        <v>0</v>
      </c>
      <c r="I62" s="51">
        <f t="shared" si="6"/>
        <v>0</v>
      </c>
      <c r="J62" s="51"/>
      <c r="K62" s="112"/>
      <c r="L62" s="53">
        <f t="shared" si="2"/>
        <v>0</v>
      </c>
      <c r="M62" s="112"/>
      <c r="N62" s="53">
        <f t="shared" si="4"/>
        <v>0</v>
      </c>
      <c r="O62" s="53">
        <f t="shared" si="5"/>
        <v>0</v>
      </c>
      <c r="P62" s="1"/>
    </row>
    <row r="63" spans="2:16">
      <c r="B63" t="str">
        <f t="shared" si="0"/>
        <v/>
      </c>
      <c r="C63" s="49">
        <f>IF(D11="","-",+C62+1)</f>
        <v>2063</v>
      </c>
      <c r="D63" s="54">
        <f>IF(F62+SUM(E$17:E62)=D$10,F62,D$10-SUM(E$17:E62))</f>
        <v>0</v>
      </c>
      <c r="E63" s="377">
        <f t="shared" si="32"/>
        <v>0</v>
      </c>
      <c r="F63" s="54">
        <f t="shared" si="27"/>
        <v>0</v>
      </c>
      <c r="G63" s="388">
        <f t="shared" si="30"/>
        <v>0</v>
      </c>
      <c r="H63" s="359">
        <f t="shared" si="31"/>
        <v>0</v>
      </c>
      <c r="I63" s="51">
        <f t="shared" si="6"/>
        <v>0</v>
      </c>
      <c r="J63" s="51"/>
      <c r="K63" s="112"/>
      <c r="L63" s="53">
        <f t="shared" si="2"/>
        <v>0</v>
      </c>
      <c r="M63" s="112"/>
      <c r="N63" s="53">
        <f t="shared" si="4"/>
        <v>0</v>
      </c>
      <c r="O63" s="53">
        <f t="shared" si="5"/>
        <v>0</v>
      </c>
      <c r="P63" s="1"/>
    </row>
    <row r="64" spans="2:16">
      <c r="B64" t="str">
        <f t="shared" si="0"/>
        <v/>
      </c>
      <c r="C64" s="49">
        <f>IF(D11="","-",+C63+1)</f>
        <v>2064</v>
      </c>
      <c r="D64" s="54">
        <f>IF(F63+SUM(E$17:E63)=D$10,F63,D$10-SUM(E$17:E63))</f>
        <v>0</v>
      </c>
      <c r="E64" s="377">
        <f t="shared" si="32"/>
        <v>0</v>
      </c>
      <c r="F64" s="54">
        <f t="shared" si="27"/>
        <v>0</v>
      </c>
      <c r="G64" s="388">
        <f t="shared" si="30"/>
        <v>0</v>
      </c>
      <c r="H64" s="359">
        <f t="shared" si="31"/>
        <v>0</v>
      </c>
      <c r="I64" s="51">
        <f t="shared" si="6"/>
        <v>0</v>
      </c>
      <c r="J64" s="51"/>
      <c r="K64" s="112"/>
      <c r="L64" s="53">
        <f t="shared" si="2"/>
        <v>0</v>
      </c>
      <c r="M64" s="112"/>
      <c r="N64" s="53">
        <f t="shared" si="4"/>
        <v>0</v>
      </c>
      <c r="O64" s="53">
        <f t="shared" si="5"/>
        <v>0</v>
      </c>
      <c r="P64" s="1"/>
    </row>
    <row r="65" spans="2:16">
      <c r="B65" t="str">
        <f t="shared" si="0"/>
        <v/>
      </c>
      <c r="C65" s="49">
        <f>IF(D11="","-",+C64+1)</f>
        <v>2065</v>
      </c>
      <c r="D65" s="54">
        <f>IF(F64+SUM(E$17:E64)=D$10,F64,D$10-SUM(E$17:E64))</f>
        <v>0</v>
      </c>
      <c r="E65" s="377">
        <f t="shared" si="32"/>
        <v>0</v>
      </c>
      <c r="F65" s="54">
        <f t="shared" si="27"/>
        <v>0</v>
      </c>
      <c r="G65" s="388">
        <f t="shared" si="30"/>
        <v>0</v>
      </c>
      <c r="H65" s="359">
        <f t="shared" si="31"/>
        <v>0</v>
      </c>
      <c r="I65" s="51">
        <f t="shared" si="6"/>
        <v>0</v>
      </c>
      <c r="J65" s="51"/>
      <c r="K65" s="112"/>
      <c r="L65" s="53">
        <f t="shared" si="2"/>
        <v>0</v>
      </c>
      <c r="M65" s="112"/>
      <c r="N65" s="53">
        <f t="shared" si="4"/>
        <v>0</v>
      </c>
      <c r="O65" s="53">
        <f t="shared" si="5"/>
        <v>0</v>
      </c>
      <c r="P65" s="1"/>
    </row>
    <row r="66" spans="2:16">
      <c r="B66" t="str">
        <f t="shared" si="0"/>
        <v/>
      </c>
      <c r="C66" s="49">
        <f>IF(D11="","-",+C65+1)</f>
        <v>2066</v>
      </c>
      <c r="D66" s="54">
        <f>IF(F65+SUM(E$17:E65)=D$10,F65,D$10-SUM(E$17:E65))</f>
        <v>0</v>
      </c>
      <c r="E66" s="377">
        <f t="shared" si="32"/>
        <v>0</v>
      </c>
      <c r="F66" s="54">
        <f t="shared" si="27"/>
        <v>0</v>
      </c>
      <c r="G66" s="388">
        <f t="shared" si="30"/>
        <v>0</v>
      </c>
      <c r="H66" s="359">
        <f t="shared" si="31"/>
        <v>0</v>
      </c>
      <c r="I66" s="51">
        <f t="shared" si="6"/>
        <v>0</v>
      </c>
      <c r="J66" s="51"/>
      <c r="K66" s="112"/>
      <c r="L66" s="53">
        <f t="shared" si="2"/>
        <v>0</v>
      </c>
      <c r="M66" s="112"/>
      <c r="N66" s="53">
        <f t="shared" si="4"/>
        <v>0</v>
      </c>
      <c r="O66" s="53">
        <f t="shared" si="5"/>
        <v>0</v>
      </c>
      <c r="P66" s="1"/>
    </row>
    <row r="67" spans="2:16">
      <c r="B67" t="str">
        <f t="shared" si="0"/>
        <v/>
      </c>
      <c r="C67" s="49">
        <f>IF(D11="","-",+C66+1)</f>
        <v>2067</v>
      </c>
      <c r="D67" s="54">
        <f>IF(F66+SUM(E$17:E66)=D$10,F66,D$10-SUM(E$17:E66))</f>
        <v>0</v>
      </c>
      <c r="E67" s="377">
        <f t="shared" si="32"/>
        <v>0</v>
      </c>
      <c r="F67" s="54">
        <f t="shared" si="27"/>
        <v>0</v>
      </c>
      <c r="G67" s="388">
        <f t="shared" si="30"/>
        <v>0</v>
      </c>
      <c r="H67" s="359">
        <f t="shared" si="31"/>
        <v>0</v>
      </c>
      <c r="I67" s="51">
        <f t="shared" si="6"/>
        <v>0</v>
      </c>
      <c r="J67" s="51"/>
      <c r="K67" s="112"/>
      <c r="L67" s="53">
        <f t="shared" si="2"/>
        <v>0</v>
      </c>
      <c r="M67" s="112"/>
      <c r="N67" s="53">
        <f t="shared" si="4"/>
        <v>0</v>
      </c>
      <c r="O67" s="53">
        <f t="shared" si="5"/>
        <v>0</v>
      </c>
      <c r="P67" s="1"/>
    </row>
    <row r="68" spans="2:16">
      <c r="B68" t="str">
        <f t="shared" si="0"/>
        <v/>
      </c>
      <c r="C68" s="49">
        <f>IF(D11="","-",+C67+1)</f>
        <v>2068</v>
      </c>
      <c r="D68" s="54">
        <f>IF(F67+SUM(E$17:E67)=D$10,F67,D$10-SUM(E$17:E67))</f>
        <v>0</v>
      </c>
      <c r="E68" s="377">
        <f t="shared" si="32"/>
        <v>0</v>
      </c>
      <c r="F68" s="54">
        <f t="shared" si="27"/>
        <v>0</v>
      </c>
      <c r="G68" s="388">
        <f t="shared" si="30"/>
        <v>0</v>
      </c>
      <c r="H68" s="359">
        <f t="shared" si="31"/>
        <v>0</v>
      </c>
      <c r="I68" s="51">
        <f t="shared" si="6"/>
        <v>0</v>
      </c>
      <c r="J68" s="51"/>
      <c r="K68" s="112"/>
      <c r="L68" s="53">
        <f t="shared" si="2"/>
        <v>0</v>
      </c>
      <c r="M68" s="112"/>
      <c r="N68" s="53">
        <f t="shared" si="4"/>
        <v>0</v>
      </c>
      <c r="O68" s="53">
        <f t="shared" si="5"/>
        <v>0</v>
      </c>
      <c r="P68" s="1"/>
    </row>
    <row r="69" spans="2:16">
      <c r="B69" t="str">
        <f t="shared" si="0"/>
        <v/>
      </c>
      <c r="C69" s="49">
        <f>IF(D11="","-",+C68+1)</f>
        <v>2069</v>
      </c>
      <c r="D69" s="54">
        <f>IF(F68+SUM(E$17:E68)=D$10,F68,D$10-SUM(E$17:E68))</f>
        <v>0</v>
      </c>
      <c r="E69" s="377">
        <f t="shared" si="32"/>
        <v>0</v>
      </c>
      <c r="F69" s="54">
        <f t="shared" si="27"/>
        <v>0</v>
      </c>
      <c r="G69" s="388">
        <f t="shared" si="30"/>
        <v>0</v>
      </c>
      <c r="H69" s="359">
        <f t="shared" si="31"/>
        <v>0</v>
      </c>
      <c r="I69" s="51">
        <f t="shared" si="6"/>
        <v>0</v>
      </c>
      <c r="J69" s="51"/>
      <c r="K69" s="112"/>
      <c r="L69" s="53">
        <f t="shared" si="2"/>
        <v>0</v>
      </c>
      <c r="M69" s="112"/>
      <c r="N69" s="53">
        <f t="shared" si="4"/>
        <v>0</v>
      </c>
      <c r="O69" s="53">
        <f t="shared" si="5"/>
        <v>0</v>
      </c>
      <c r="P69" s="1"/>
    </row>
    <row r="70" spans="2:16">
      <c r="B70" t="str">
        <f t="shared" si="0"/>
        <v/>
      </c>
      <c r="C70" s="49">
        <f>IF(D11="","-",+C69+1)</f>
        <v>2070</v>
      </c>
      <c r="D70" s="54">
        <f>IF(F69+SUM(E$17:E69)=D$10,F69,D$10-SUM(E$17:E69))</f>
        <v>0</v>
      </c>
      <c r="E70" s="377">
        <f t="shared" si="32"/>
        <v>0</v>
      </c>
      <c r="F70" s="54">
        <f t="shared" si="27"/>
        <v>0</v>
      </c>
      <c r="G70" s="388">
        <f t="shared" si="30"/>
        <v>0</v>
      </c>
      <c r="H70" s="359">
        <f t="shared" si="31"/>
        <v>0</v>
      </c>
      <c r="I70" s="51">
        <f t="shared" si="6"/>
        <v>0</v>
      </c>
      <c r="J70" s="51"/>
      <c r="K70" s="112"/>
      <c r="L70" s="53">
        <f t="shared" si="2"/>
        <v>0</v>
      </c>
      <c r="M70" s="112"/>
      <c r="N70" s="53">
        <f t="shared" si="4"/>
        <v>0</v>
      </c>
      <c r="O70" s="53">
        <f t="shared" si="5"/>
        <v>0</v>
      </c>
      <c r="P70" s="1"/>
    </row>
    <row r="71" spans="2:16">
      <c r="B71" t="str">
        <f t="shared" si="0"/>
        <v/>
      </c>
      <c r="C71" s="49">
        <f>IF(D11="","-",+C70+1)</f>
        <v>2071</v>
      </c>
      <c r="D71" s="54">
        <f>IF(F70+SUM(E$17:E70)=D$10,F70,D$10-SUM(E$17:E70))</f>
        <v>0</v>
      </c>
      <c r="E71" s="377">
        <f t="shared" si="32"/>
        <v>0</v>
      </c>
      <c r="F71" s="54">
        <f t="shared" si="27"/>
        <v>0</v>
      </c>
      <c r="G71" s="388">
        <f t="shared" si="30"/>
        <v>0</v>
      </c>
      <c r="H71" s="359">
        <f t="shared" si="31"/>
        <v>0</v>
      </c>
      <c r="I71" s="51">
        <f t="shared" si="6"/>
        <v>0</v>
      </c>
      <c r="J71" s="51"/>
      <c r="K71" s="112"/>
      <c r="L71" s="53">
        <f t="shared" si="2"/>
        <v>0</v>
      </c>
      <c r="M71" s="112"/>
      <c r="N71" s="53">
        <f t="shared" si="4"/>
        <v>0</v>
      </c>
      <c r="O71" s="53">
        <f t="shared" si="5"/>
        <v>0</v>
      </c>
      <c r="P71" s="1"/>
    </row>
    <row r="72" spans="2:16">
      <c r="C72" s="49">
        <f>IF(D12="","-",+C71+1)</f>
        <v>2072</v>
      </c>
      <c r="D72" s="54">
        <f>IF(F71+SUM(E$17:E71)=D$10,F71,D$10-SUM(E$17:E71))</f>
        <v>0</v>
      </c>
      <c r="E72" s="377">
        <f>IF(+I$14&lt;F71,I$14,D72)</f>
        <v>0</v>
      </c>
      <c r="F72" s="54">
        <f>+D72-E72</f>
        <v>0</v>
      </c>
      <c r="G72" s="388">
        <f>(D72+F72)/2*I$12+E72</f>
        <v>0</v>
      </c>
      <c r="H72" s="359">
        <f>+(D72+F72)/2*I$13+E72</f>
        <v>0</v>
      </c>
      <c r="I72" s="51">
        <f>H72-G72</f>
        <v>0</v>
      </c>
      <c r="J72" s="51"/>
      <c r="K72" s="112"/>
      <c r="L72" s="53">
        <f>IF(K72&lt;&gt;0,+G72-K72,0)</f>
        <v>0</v>
      </c>
      <c r="M72" s="112"/>
      <c r="N72" s="53">
        <f>IF(M72&lt;&gt;0,+H72-M72,0)</f>
        <v>0</v>
      </c>
      <c r="O72" s="53">
        <f>+N72-L72</f>
        <v>0</v>
      </c>
      <c r="P72" s="1"/>
    </row>
    <row r="73" spans="2:16" ht="13.5" thickBot="1">
      <c r="B73" t="str">
        <f>IF(D73=F71,"","IU")</f>
        <v/>
      </c>
      <c r="C73" s="58">
        <f>IF(D13="","-",+C72+1)</f>
        <v>2073</v>
      </c>
      <c r="D73" s="54">
        <f>IF(F72+SUM(E$17:E72)=D$10,F72,D$10-SUM(E$17:E72))</f>
        <v>0</v>
      </c>
      <c r="E73" s="389">
        <f>IF(+I$14&lt;F72,I$14,D73)</f>
        <v>0</v>
      </c>
      <c r="F73" s="59">
        <f>+D73-E73</f>
        <v>0</v>
      </c>
      <c r="G73" s="390">
        <f>(D73+F73)/2*I$12+E73</f>
        <v>0</v>
      </c>
      <c r="H73" s="357">
        <f>+(D73+F73)/2*I$13+E73</f>
        <v>0</v>
      </c>
      <c r="I73" s="62">
        <f>H73-G73</f>
        <v>0</v>
      </c>
      <c r="J73" s="51"/>
      <c r="K73" s="113"/>
      <c r="L73" s="63">
        <f>IF(K73&lt;&gt;0,+G73-K73,0)</f>
        <v>0</v>
      </c>
      <c r="M73" s="113"/>
      <c r="N73" s="63">
        <f>IF(M73&lt;&gt;0,+H73-M73,0)</f>
        <v>0</v>
      </c>
      <c r="O73" s="63">
        <f>+N73-L73</f>
        <v>0</v>
      </c>
      <c r="P73" s="1"/>
    </row>
    <row r="74" spans="2:16">
      <c r="C74" s="11" t="s">
        <v>75</v>
      </c>
      <c r="D74" s="242"/>
      <c r="E74" s="242">
        <f>SUM(E17:E73)</f>
        <v>9653726.4200000018</v>
      </c>
      <c r="F74" s="242"/>
      <c r="G74" s="242">
        <f>SUM(G17:G73)</f>
        <v>26786548.646344345</v>
      </c>
      <c r="H74" s="242">
        <f>SUM(H17:H73)</f>
        <v>26786548.646344345</v>
      </c>
      <c r="I74" s="242">
        <f>SUM(I17:I73)</f>
        <v>0</v>
      </c>
      <c r="J74" s="242"/>
      <c r="K74" s="242"/>
      <c r="L74" s="242"/>
      <c r="M74" s="242"/>
      <c r="N74" s="242"/>
      <c r="O74" s="1"/>
      <c r="P74" s="1"/>
    </row>
    <row r="75" spans="2:16">
      <c r="D75" s="2"/>
      <c r="E75" s="1"/>
      <c r="F75" s="1"/>
      <c r="G75" s="1"/>
      <c r="H75" s="260"/>
      <c r="I75" s="260"/>
      <c r="J75" s="242"/>
      <c r="K75" s="260"/>
      <c r="L75" s="260"/>
      <c r="M75" s="260"/>
      <c r="N75" s="260"/>
      <c r="O75" s="1"/>
      <c r="P75" s="1"/>
    </row>
    <row r="76" spans="2:16">
      <c r="C76" s="29" t="s">
        <v>95</v>
      </c>
      <c r="D76" s="2"/>
      <c r="E76" s="1"/>
      <c r="F76" s="1"/>
      <c r="G76" s="1"/>
      <c r="H76" s="260"/>
      <c r="I76" s="260"/>
      <c r="J76" s="242"/>
      <c r="K76" s="260"/>
      <c r="L76" s="260"/>
      <c r="M76" s="260"/>
      <c r="N76" s="260"/>
      <c r="O76" s="1"/>
      <c r="P76" s="1"/>
    </row>
    <row r="77" spans="2:16">
      <c r="C77" s="25" t="s">
        <v>76</v>
      </c>
      <c r="D77" s="2"/>
      <c r="E77" s="1"/>
      <c r="F77" s="1"/>
      <c r="G77" s="1"/>
      <c r="H77" s="260"/>
      <c r="I77" s="260"/>
      <c r="J77" s="242"/>
      <c r="K77" s="260"/>
      <c r="L77" s="260"/>
      <c r="M77" s="260"/>
      <c r="N77" s="260"/>
      <c r="O77" s="1"/>
      <c r="P77" s="1"/>
    </row>
    <row r="78" spans="2:16">
      <c r="C78" s="25" t="s">
        <v>77</v>
      </c>
      <c r="D78" s="11"/>
      <c r="E78" s="11"/>
      <c r="F78" s="11"/>
      <c r="G78" s="242"/>
      <c r="H78" s="242"/>
      <c r="I78" s="64"/>
      <c r="J78" s="64"/>
      <c r="K78" s="64"/>
      <c r="L78" s="64"/>
      <c r="M78" s="64"/>
      <c r="N78" s="64"/>
      <c r="O78" s="1"/>
      <c r="P78" s="1"/>
    </row>
    <row r="79" spans="2:16">
      <c r="C79" s="25"/>
      <c r="D79" s="11"/>
      <c r="E79" s="11"/>
      <c r="F79" s="11"/>
      <c r="G79" s="242"/>
      <c r="H79" s="242"/>
      <c r="I79" s="64"/>
      <c r="J79" s="64"/>
      <c r="K79" s="64"/>
      <c r="L79" s="64"/>
      <c r="M79" s="64"/>
      <c r="N79" s="64"/>
      <c r="O79" s="1"/>
      <c r="P79" s="1"/>
    </row>
    <row r="80" spans="2:16">
      <c r="B80" s="1"/>
      <c r="C80" s="1"/>
      <c r="D80" s="2"/>
      <c r="E80" s="1"/>
      <c r="F80" s="11"/>
      <c r="G80" s="1"/>
      <c r="H80" s="260"/>
      <c r="I80" s="1"/>
      <c r="J80" s="1"/>
      <c r="K80" s="1"/>
      <c r="L80" s="1"/>
      <c r="M80" s="1"/>
      <c r="N80" s="1"/>
      <c r="O80" s="1"/>
      <c r="P80" s="1"/>
    </row>
    <row r="81" spans="1:16" ht="18">
      <c r="B81" s="1"/>
      <c r="C81" s="92"/>
      <c r="D81" s="2"/>
      <c r="E81" s="1"/>
      <c r="F81" s="11"/>
      <c r="G81" s="1"/>
      <c r="H81" s="260"/>
      <c r="I81" s="1"/>
      <c r="J81" s="1"/>
      <c r="K81" s="1"/>
      <c r="L81" s="1"/>
      <c r="M81" s="1"/>
      <c r="N81" s="1"/>
      <c r="P81" s="94" t="s">
        <v>128</v>
      </c>
    </row>
    <row r="82" spans="1:16">
      <c r="B82" s="1"/>
      <c r="C82" s="1"/>
      <c r="D82" s="2"/>
      <c r="E82" s="1"/>
      <c r="F82" s="11"/>
      <c r="G82" s="1"/>
      <c r="H82" s="260"/>
      <c r="I82" s="1"/>
      <c r="J82" s="1"/>
      <c r="K82" s="1"/>
      <c r="L82" s="1"/>
      <c r="M82" s="1"/>
      <c r="N82" s="1"/>
      <c r="O82" s="1"/>
      <c r="P82" s="1"/>
    </row>
    <row r="83" spans="1:16">
      <c r="B83" s="1"/>
      <c r="C83" s="1"/>
      <c r="D83" s="2"/>
      <c r="E83" s="1"/>
      <c r="F83" s="11"/>
      <c r="G83" s="1"/>
      <c r="H83" s="260"/>
      <c r="I83" s="1"/>
      <c r="J83" s="1"/>
      <c r="K83" s="1"/>
      <c r="L83" s="1"/>
      <c r="M83" s="1"/>
      <c r="N83" s="1"/>
      <c r="O83" s="1"/>
      <c r="P83" s="1"/>
    </row>
    <row r="84" spans="1:16" ht="20.25">
      <c r="A84" s="93" t="s">
        <v>190</v>
      </c>
      <c r="B84" s="1"/>
      <c r="C84" s="1"/>
      <c r="D84" s="2"/>
      <c r="E84" s="1"/>
      <c r="F84" s="7"/>
      <c r="G84" s="7"/>
      <c r="H84" s="1"/>
      <c r="I84" s="260"/>
      <c r="L84" s="12"/>
      <c r="M84" s="12"/>
      <c r="P84" s="12" t="str">
        <f ca="1">P1</f>
        <v>OKT Project 16 of 26</v>
      </c>
    </row>
    <row r="85" spans="1:16" ht="18">
      <c r="B85" s="1"/>
      <c r="C85" s="1"/>
      <c r="D85" s="2"/>
      <c r="E85" s="1"/>
      <c r="F85" s="1"/>
      <c r="G85" s="1"/>
      <c r="H85" s="1"/>
      <c r="I85" s="260"/>
      <c r="J85" s="1"/>
      <c r="K85" s="1"/>
      <c r="L85" s="1"/>
      <c r="M85" s="1"/>
      <c r="P85" s="99" t="s">
        <v>132</v>
      </c>
    </row>
    <row r="86" spans="1:16" ht="18.75" thickBot="1">
      <c r="B86" s="4" t="s">
        <v>42</v>
      </c>
      <c r="C86" s="66" t="s">
        <v>81</v>
      </c>
      <c r="D86" s="2"/>
      <c r="E86" s="1"/>
      <c r="F86" s="1"/>
      <c r="G86" s="1"/>
      <c r="H86" s="1"/>
      <c r="I86" s="260"/>
      <c r="J86" s="260"/>
      <c r="K86" s="242"/>
      <c r="L86" s="260"/>
      <c r="M86" s="260"/>
      <c r="N86" s="260"/>
      <c r="O86" s="242"/>
      <c r="P86" s="1"/>
    </row>
    <row r="87" spans="1:16" ht="15.75" thickBot="1">
      <c r="C87" s="250"/>
      <c r="D87" s="2"/>
      <c r="E87" s="1"/>
      <c r="F87" s="1"/>
      <c r="G87" s="1"/>
      <c r="H87" s="1"/>
      <c r="I87" s="260"/>
      <c r="J87" s="260"/>
      <c r="K87" s="242"/>
      <c r="L87" s="100">
        <f>+J93</f>
        <v>2025</v>
      </c>
      <c r="M87" s="392" t="s">
        <v>9</v>
      </c>
      <c r="N87" s="393" t="s">
        <v>134</v>
      </c>
      <c r="O87" s="394" t="s">
        <v>11</v>
      </c>
      <c r="P87" s="1"/>
    </row>
    <row r="88" spans="1:16" ht="15">
      <c r="C88" s="90" t="s">
        <v>44</v>
      </c>
      <c r="D88" s="2"/>
      <c r="E88" s="1"/>
      <c r="F88" s="1"/>
      <c r="G88" s="1"/>
      <c r="H88" s="349"/>
      <c r="I88" s="1" t="s">
        <v>45</v>
      </c>
      <c r="J88" s="1"/>
      <c r="K88" s="104"/>
      <c r="L88" s="395" t="s">
        <v>253</v>
      </c>
      <c r="M88" s="396">
        <f>IF(J93&lt;D11,0,VLOOKUP(J93,C17:O73,9))</f>
        <v>1171913.4158382551</v>
      </c>
      <c r="N88" s="396">
        <f>IF(J93&lt;D11,0,VLOOKUP(J93,C17:O73,11))</f>
        <v>1171913.4158382551</v>
      </c>
      <c r="O88" s="68">
        <f>+N88-M88</f>
        <v>0</v>
      </c>
      <c r="P88" s="1"/>
    </row>
    <row r="89" spans="1:16" ht="15.75">
      <c r="C89" s="6"/>
      <c r="D89" s="2"/>
      <c r="E89" s="1"/>
      <c r="F89" s="1"/>
      <c r="G89" s="1"/>
      <c r="H89" s="1"/>
      <c r="I89" s="351"/>
      <c r="J89" s="351"/>
      <c r="K89" s="397"/>
      <c r="L89" s="398" t="s">
        <v>254</v>
      </c>
      <c r="M89" s="399">
        <f>IF(J93&lt;D11,0,VLOOKUP(J93,C100:P155,6))</f>
        <v>1044459.8573977714</v>
      </c>
      <c r="N89" s="399">
        <f>IF(J93&lt;D11,0,VLOOKUP(J93,C100:P155,7))</f>
        <v>1044459.8573977714</v>
      </c>
      <c r="O89" s="70">
        <f>+N89-M89</f>
        <v>0</v>
      </c>
      <c r="P89" s="1"/>
    </row>
    <row r="90" spans="1:16" ht="13.5" thickBot="1">
      <c r="C90" s="25" t="s">
        <v>82</v>
      </c>
      <c r="D90" s="96" t="str">
        <f>+D7</f>
        <v>Carnegie South-Southwestern 123 kv line rebuild</v>
      </c>
      <c r="E90" s="1"/>
      <c r="F90" s="1"/>
      <c r="G90" s="1"/>
      <c r="H90" s="1"/>
      <c r="I90" s="260"/>
      <c r="J90" s="260"/>
      <c r="K90" s="400"/>
      <c r="L90" s="109" t="s">
        <v>135</v>
      </c>
      <c r="M90" s="401">
        <f>+M89-M88</f>
        <v>-127453.55844048364</v>
      </c>
      <c r="N90" s="401">
        <f>+N89-N88</f>
        <v>-127453.55844048364</v>
      </c>
      <c r="O90" s="402">
        <f>+O89-O88</f>
        <v>0</v>
      </c>
      <c r="P90" s="1"/>
    </row>
    <row r="91" spans="1:16" ht="13.5" thickBot="1">
      <c r="C91" s="29"/>
      <c r="D91" s="65" t="str">
        <f>IF(D8="","",D8)</f>
        <v/>
      </c>
      <c r="E91" s="11"/>
      <c r="F91" s="11"/>
      <c r="G91" s="11"/>
      <c r="H91" s="10"/>
      <c r="I91" s="260"/>
      <c r="J91" s="260"/>
      <c r="K91" s="242"/>
      <c r="L91" s="260"/>
      <c r="M91" s="260"/>
      <c r="N91" s="260"/>
      <c r="O91" s="242"/>
      <c r="P91" s="1"/>
    </row>
    <row r="92" spans="1:16" ht="13.5" thickBot="1">
      <c r="C92" s="74" t="s">
        <v>83</v>
      </c>
      <c r="D92" s="88" t="str">
        <f>+D9</f>
        <v>TP 2014207</v>
      </c>
      <c r="E92" s="75" t="s">
        <v>312</v>
      </c>
      <c r="F92" s="527">
        <f>F9</f>
        <v>30873</v>
      </c>
      <c r="G92" s="75"/>
      <c r="H92" s="75"/>
      <c r="I92" s="75"/>
      <c r="J92" s="75"/>
    </row>
    <row r="93" spans="1:16">
      <c r="C93" s="34" t="s">
        <v>49</v>
      </c>
      <c r="D93" s="358">
        <v>9653726.4200000018</v>
      </c>
      <c r="E93" s="1" t="s">
        <v>84</v>
      </c>
      <c r="H93" s="2"/>
      <c r="I93" s="2"/>
      <c r="J93" s="36">
        <f>+'OKT.WS.G.BPU.ATRR.True-up'!M16</f>
        <v>2025</v>
      </c>
      <c r="K93" s="33"/>
      <c r="L93" s="242" t="s">
        <v>85</v>
      </c>
      <c r="P93" s="1"/>
    </row>
    <row r="94" spans="1:16">
      <c r="C94" s="34" t="s">
        <v>52</v>
      </c>
      <c r="D94" s="37">
        <f>IF(D11=I10,"",D11)</f>
        <v>2017</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358">
        <f>IF(D11=I10,"",D12)</f>
        <v>7</v>
      </c>
      <c r="E95" s="34" t="s">
        <v>55</v>
      </c>
      <c r="F95" s="2"/>
      <c r="G95" s="2"/>
      <c r="J95" s="40">
        <f>'OKT.WS.G.BPU.ATRR.True-up'!$F$81</f>
        <v>0.11246496061127743</v>
      </c>
      <c r="K95" s="7"/>
      <c r="L95" t="s">
        <v>86</v>
      </c>
      <c r="P95" s="1"/>
    </row>
    <row r="96" spans="1:16">
      <c r="C96" s="34" t="s">
        <v>57</v>
      </c>
      <c r="D96" s="38">
        <f>'OKT.WS.G.BPU.ATRR.True-up'!F$93</f>
        <v>32</v>
      </c>
      <c r="E96" s="34" t="s">
        <v>58</v>
      </c>
      <c r="F96" s="2"/>
      <c r="G96" s="2"/>
      <c r="J96" s="40">
        <f>IF(H88="",J95,'OKT.WS.G.BPU.ATRR.True-up'!$F$80)</f>
        <v>0.11246496061127743</v>
      </c>
      <c r="K96" s="7"/>
      <c r="L96" s="242" t="s">
        <v>59</v>
      </c>
      <c r="M96" s="7"/>
      <c r="N96" s="7"/>
      <c r="O96" s="7"/>
      <c r="P96" s="1"/>
    </row>
    <row r="97" spans="1:16" ht="13.5" thickBot="1">
      <c r="C97" s="34" t="s">
        <v>60</v>
      </c>
      <c r="D97" s="37" t="str">
        <f>+D14</f>
        <v>No</v>
      </c>
      <c r="E97" s="71" t="s">
        <v>62</v>
      </c>
      <c r="F97" s="76"/>
      <c r="G97" s="76"/>
      <c r="H97" s="77"/>
      <c r="I97" s="77"/>
      <c r="J97" s="357">
        <f>IF(D93=0,0,D93/D96)</f>
        <v>301678.95062500006</v>
      </c>
      <c r="K97" s="242"/>
      <c r="L97" s="242"/>
      <c r="M97" s="242"/>
      <c r="N97" s="242"/>
      <c r="O97" s="242"/>
      <c r="P97" s="1"/>
    </row>
    <row r="98" spans="1:16"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row>
    <row r="99" spans="1:16" ht="13.5" thickBot="1">
      <c r="C99" s="46" t="s">
        <v>68</v>
      </c>
      <c r="D99" s="80" t="s">
        <v>69</v>
      </c>
      <c r="E99" s="46" t="s">
        <v>70</v>
      </c>
      <c r="F99" s="46" t="s">
        <v>69</v>
      </c>
      <c r="G99" s="46" t="s">
        <v>69</v>
      </c>
      <c r="H99" s="369" t="s">
        <v>71</v>
      </c>
      <c r="I99" s="367" t="s">
        <v>72</v>
      </c>
      <c r="J99" s="46" t="s">
        <v>93</v>
      </c>
      <c r="K99" s="44"/>
      <c r="L99" s="368" t="s">
        <v>74</v>
      </c>
      <c r="M99" s="368" t="s">
        <v>74</v>
      </c>
      <c r="N99" s="368" t="s">
        <v>94</v>
      </c>
      <c r="O99" s="368" t="s">
        <v>94</v>
      </c>
      <c r="P99" s="368" t="s">
        <v>94</v>
      </c>
    </row>
    <row r="100" spans="1:16">
      <c r="B100" t="str">
        <f t="shared" ref="B100:B155" si="33">IF(D100=F99,"","IU")</f>
        <v>IU</v>
      </c>
      <c r="C100" s="49">
        <f>IF(D94= "","-",D94)</f>
        <v>2017</v>
      </c>
      <c r="D100" s="371">
        <v>0</v>
      </c>
      <c r="E100" s="373">
        <v>99561.5625</v>
      </c>
      <c r="F100" s="375">
        <v>9458348.4375</v>
      </c>
      <c r="G100" s="375">
        <v>4729174.21875</v>
      </c>
      <c r="H100" s="373">
        <v>654463.30646394705</v>
      </c>
      <c r="I100" s="374">
        <v>654463.30646394705</v>
      </c>
      <c r="J100" s="53">
        <f t="shared" ref="J100:J131" si="34">+I100-H100</f>
        <v>0</v>
      </c>
      <c r="K100" s="53"/>
      <c r="L100" s="376">
        <f>+H100</f>
        <v>654463.30646394705</v>
      </c>
      <c r="M100" s="53">
        <f t="shared" ref="M100:M131" si="35">IF(L100&lt;&gt;0,+H100-L100,0)</f>
        <v>0</v>
      </c>
      <c r="N100" s="376">
        <f>+I100</f>
        <v>654463.30646394705</v>
      </c>
      <c r="O100" s="413">
        <f t="shared" ref="O100:O131" si="36">IF(N100&lt;&gt;0,+I100-N100,0)</f>
        <v>0</v>
      </c>
      <c r="P100" s="53">
        <f t="shared" ref="P100:P131" si="37">+O100-M100</f>
        <v>0</v>
      </c>
    </row>
    <row r="101" spans="1:16">
      <c r="B101" t="str">
        <f t="shared" si="33"/>
        <v/>
      </c>
      <c r="C101" s="49">
        <f>IF(D94="","-",+C100+1)</f>
        <v>2018</v>
      </c>
      <c r="D101" s="371">
        <v>9458348.4375</v>
      </c>
      <c r="E101" s="373">
        <v>265497.5</v>
      </c>
      <c r="F101" s="375">
        <v>9192850.9375</v>
      </c>
      <c r="G101" s="375">
        <v>9325599.6875</v>
      </c>
      <c r="H101" s="373">
        <v>1249930.642330141</v>
      </c>
      <c r="I101" s="374">
        <v>1249930.642330141</v>
      </c>
      <c r="J101" s="53">
        <f t="shared" si="34"/>
        <v>0</v>
      </c>
      <c r="K101" s="53"/>
      <c r="L101" s="376">
        <f t="shared" ref="L101:L106" si="38">H101</f>
        <v>1249930.642330141</v>
      </c>
      <c r="M101" s="53">
        <f t="shared" ref="M101:M106" si="39">IF(L101&lt;&gt;0,+H101-L101,0)</f>
        <v>0</v>
      </c>
      <c r="N101" s="376">
        <f t="shared" ref="N101:N106" si="40">I101</f>
        <v>1249930.642330141</v>
      </c>
      <c r="O101" s="53">
        <f>IF(N101&lt;&gt;0,+I101-N101,0)</f>
        <v>0</v>
      </c>
      <c r="P101" s="53">
        <f>+O101-M101</f>
        <v>0</v>
      </c>
    </row>
    <row r="102" spans="1:16">
      <c r="B102" t="str">
        <f t="shared" si="33"/>
        <v>IU</v>
      </c>
      <c r="C102" s="49">
        <f>IF(D94="","-",+C101+1)</f>
        <v>2019</v>
      </c>
      <c r="D102" s="371">
        <v>9224210.9375</v>
      </c>
      <c r="E102" s="373">
        <v>266368.61111111112</v>
      </c>
      <c r="F102" s="375">
        <v>8957842.3263888881</v>
      </c>
      <c r="G102" s="375">
        <v>9091026.631944444</v>
      </c>
      <c r="H102" s="373">
        <v>1226039.6472041525</v>
      </c>
      <c r="I102" s="374">
        <v>1226039.6472041525</v>
      </c>
      <c r="J102" s="53">
        <f t="shared" si="34"/>
        <v>0</v>
      </c>
      <c r="K102" s="53"/>
      <c r="L102" s="376">
        <f t="shared" si="38"/>
        <v>1226039.6472041525</v>
      </c>
      <c r="M102" s="53">
        <f t="shared" si="39"/>
        <v>0</v>
      </c>
      <c r="N102" s="376">
        <f t="shared" si="40"/>
        <v>1226039.6472041525</v>
      </c>
      <c r="O102" s="53">
        <f t="shared" si="36"/>
        <v>0</v>
      </c>
      <c r="P102" s="53">
        <f t="shared" si="37"/>
        <v>0</v>
      </c>
    </row>
    <row r="103" spans="1:16">
      <c r="B103" t="str">
        <f t="shared" si="33"/>
        <v>IU</v>
      </c>
      <c r="C103" s="49">
        <f>IF(D94="","-",+C102+1)</f>
        <v>2020</v>
      </c>
      <c r="D103" s="371">
        <v>9031312.3263888881</v>
      </c>
      <c r="E103" s="373">
        <v>345097.85714285716</v>
      </c>
      <c r="F103" s="375">
        <v>8686214.4692460317</v>
      </c>
      <c r="G103" s="375">
        <v>8858763.397817459</v>
      </c>
      <c r="H103" s="373">
        <v>1287789.8668546416</v>
      </c>
      <c r="I103" s="374">
        <v>1287789.8668546416</v>
      </c>
      <c r="J103" s="53">
        <f t="shared" si="34"/>
        <v>0</v>
      </c>
      <c r="K103" s="53"/>
      <c r="L103" s="376">
        <f t="shared" si="38"/>
        <v>1287789.8668546416</v>
      </c>
      <c r="M103" s="53">
        <f t="shared" si="39"/>
        <v>0</v>
      </c>
      <c r="N103" s="376">
        <f t="shared" si="40"/>
        <v>1287789.8668546416</v>
      </c>
      <c r="O103" s="53">
        <f t="shared" si="36"/>
        <v>0</v>
      </c>
      <c r="P103" s="53">
        <f t="shared" si="37"/>
        <v>0</v>
      </c>
    </row>
    <row r="104" spans="1:16">
      <c r="B104" t="str">
        <f t="shared" si="33"/>
        <v>IU</v>
      </c>
      <c r="C104" s="49">
        <f>IF(D94="","-",+C103+1)</f>
        <v>2021</v>
      </c>
      <c r="D104" s="371">
        <v>8677200.4692460317</v>
      </c>
      <c r="E104" s="373">
        <v>386149.04</v>
      </c>
      <c r="F104" s="375">
        <v>8291051.4292460317</v>
      </c>
      <c r="G104" s="375">
        <v>8484125.9492460322</v>
      </c>
      <c r="H104" s="373">
        <v>1386953.616675766</v>
      </c>
      <c r="I104" s="374">
        <v>1386953.616675766</v>
      </c>
      <c r="J104" s="53">
        <f t="shared" si="34"/>
        <v>0</v>
      </c>
      <c r="K104" s="53"/>
      <c r="L104" s="376">
        <f t="shared" si="38"/>
        <v>1386953.616675766</v>
      </c>
      <c r="M104" s="53">
        <f t="shared" si="39"/>
        <v>0</v>
      </c>
      <c r="N104" s="376">
        <f t="shared" si="40"/>
        <v>1386953.616675766</v>
      </c>
      <c r="O104" s="53">
        <f t="shared" si="36"/>
        <v>0</v>
      </c>
      <c r="P104" s="53">
        <f t="shared" si="37"/>
        <v>0</v>
      </c>
    </row>
    <row r="105" spans="1:16">
      <c r="B105" t="str">
        <f t="shared" si="33"/>
        <v/>
      </c>
      <c r="C105" s="49">
        <f>IF(D94="","-",+C104+1)</f>
        <v>2022</v>
      </c>
      <c r="D105" s="371">
        <v>8291051.4292460317</v>
      </c>
      <c r="E105" s="373">
        <v>459701.23809523811</v>
      </c>
      <c r="F105" s="375">
        <v>7831350.1911507938</v>
      </c>
      <c r="G105" s="375">
        <v>8061200.8101984132</v>
      </c>
      <c r="H105" s="373">
        <v>1386465.379394053</v>
      </c>
      <c r="I105" s="374">
        <v>1386465.379394053</v>
      </c>
      <c r="J105" s="53">
        <f t="shared" si="34"/>
        <v>0</v>
      </c>
      <c r="K105" s="53"/>
      <c r="L105" s="376">
        <f t="shared" si="38"/>
        <v>1386465.379394053</v>
      </c>
      <c r="M105" s="53">
        <f t="shared" si="39"/>
        <v>0</v>
      </c>
      <c r="N105" s="376">
        <f t="shared" si="40"/>
        <v>1386465.379394053</v>
      </c>
      <c r="O105" s="53">
        <f t="shared" ref="O105" si="41">IF(N105&lt;&gt;0,+I105-N105,0)</f>
        <v>0</v>
      </c>
      <c r="P105" s="53">
        <f t="shared" ref="P105" si="42">+O105-M105</f>
        <v>0</v>
      </c>
    </row>
    <row r="106" spans="1:16">
      <c r="B106" t="str">
        <f t="shared" si="33"/>
        <v>IU</v>
      </c>
      <c r="C106" s="49">
        <f>IF(D94="","-",+C105+1)</f>
        <v>2023</v>
      </c>
      <c r="D106" s="371">
        <v>7831350.6111507956</v>
      </c>
      <c r="E106" s="373">
        <v>508090.8642105264</v>
      </c>
      <c r="F106" s="375">
        <v>7323259.7469402691</v>
      </c>
      <c r="G106" s="375">
        <v>7577305.1790455319</v>
      </c>
      <c r="H106" s="373">
        <v>1338822.3540420756</v>
      </c>
      <c r="I106" s="374">
        <v>1338822.3540420756</v>
      </c>
      <c r="J106" s="53">
        <f t="shared" si="34"/>
        <v>0</v>
      </c>
      <c r="K106" s="53"/>
      <c r="L106" s="376">
        <f t="shared" si="38"/>
        <v>1338822.3540420756</v>
      </c>
      <c r="M106" s="53">
        <f t="shared" si="39"/>
        <v>0</v>
      </c>
      <c r="N106" s="376">
        <f t="shared" si="40"/>
        <v>1338822.3540420756</v>
      </c>
      <c r="O106" s="53">
        <f t="shared" ref="O106" si="43">IF(N106&lt;&gt;0,+I106-N106,0)</f>
        <v>0</v>
      </c>
      <c r="P106" s="53">
        <f t="shared" ref="P106" si="44">+O106-M106</f>
        <v>0</v>
      </c>
    </row>
    <row r="107" spans="1:16">
      <c r="B107" t="str">
        <f t="shared" si="33"/>
        <v/>
      </c>
      <c r="C107" s="49">
        <f>IF(D94="","-",+C106+1)</f>
        <v>2024</v>
      </c>
      <c r="D107" s="371">
        <v>7323259.7469402691</v>
      </c>
      <c r="E107" s="373">
        <v>567866.26000000013</v>
      </c>
      <c r="F107" s="375">
        <v>6755393.4869402694</v>
      </c>
      <c r="G107" s="375">
        <v>7039326.6169402692</v>
      </c>
      <c r="H107" s="373">
        <v>1347297.1438637781</v>
      </c>
      <c r="I107" s="374">
        <v>1347297.1438637781</v>
      </c>
      <c r="J107" s="53">
        <f t="shared" si="34"/>
        <v>0</v>
      </c>
      <c r="K107" s="53"/>
      <c r="L107" s="376">
        <f t="shared" ref="L107" si="45">H107</f>
        <v>1347297.1438637781</v>
      </c>
      <c r="M107" s="53">
        <f t="shared" ref="M107" si="46">IF(L107&lt;&gt;0,+H107-L107,0)</f>
        <v>0</v>
      </c>
      <c r="N107" s="376">
        <f t="shared" ref="N107" si="47">I107</f>
        <v>1347297.1438637781</v>
      </c>
      <c r="O107" s="53">
        <f t="shared" ref="O107" si="48">IF(N107&lt;&gt;0,+I107-N107,0)</f>
        <v>0</v>
      </c>
      <c r="P107" s="53">
        <f t="shared" ref="P107" si="49">+O107-M107</f>
        <v>0</v>
      </c>
    </row>
    <row r="108" spans="1:16">
      <c r="B108" t="str">
        <f t="shared" si="33"/>
        <v/>
      </c>
      <c r="C108" s="49">
        <f>IF(D94="","-",+C107+1)</f>
        <v>2025</v>
      </c>
      <c r="D108" s="11">
        <f>IF(F107+SUM(E$100:E107)=D$93,F107,D$93-SUM(E$100:E107))</f>
        <v>6755393.4869402694</v>
      </c>
      <c r="E108" s="377">
        <f t="shared" ref="E108:E132" si="50">IF(+J$97&lt;F107,J$97,D108)</f>
        <v>301678.95062500006</v>
      </c>
      <c r="F108" s="54">
        <f t="shared" ref="F108:F131" si="51">+D108-E108</f>
        <v>6453714.5363152698</v>
      </c>
      <c r="G108" s="54">
        <f t="shared" ref="G108:G131" si="52">+(F108+D108)/2</f>
        <v>6604554.0116277691</v>
      </c>
      <c r="H108" s="459">
        <f t="shared" ref="H108:H155" si="53">(D108+F108)/2*J$95+E108</f>
        <v>1044459.8573977714</v>
      </c>
      <c r="I108" s="446">
        <f t="shared" ref="I108:I155" si="54">+J$96*G108+E108</f>
        <v>1044459.8573977714</v>
      </c>
      <c r="J108" s="53">
        <f t="shared" si="34"/>
        <v>0</v>
      </c>
      <c r="K108" s="53"/>
      <c r="L108" s="112"/>
      <c r="M108" s="53">
        <f t="shared" si="35"/>
        <v>0</v>
      </c>
      <c r="N108" s="112"/>
      <c r="O108" s="53">
        <f t="shared" si="36"/>
        <v>0</v>
      </c>
      <c r="P108" s="53">
        <f t="shared" si="37"/>
        <v>0</v>
      </c>
    </row>
    <row r="109" spans="1:16">
      <c r="B109" t="str">
        <f t="shared" si="33"/>
        <v/>
      </c>
      <c r="C109" s="49">
        <f>IF(D94="","-",+C108+1)</f>
        <v>2026</v>
      </c>
      <c r="D109" s="11">
        <f>IF(F108+SUM(E$100:E108)=D$93,F108,D$93-SUM(E$100:E108))</f>
        <v>6453714.5363152698</v>
      </c>
      <c r="E109" s="377">
        <f t="shared" si="50"/>
        <v>301678.95062500006</v>
      </c>
      <c r="F109" s="54">
        <f t="shared" si="51"/>
        <v>6152035.5856902692</v>
      </c>
      <c r="G109" s="54">
        <f t="shared" si="52"/>
        <v>6302875.0610027695</v>
      </c>
      <c r="H109" s="459">
        <f t="shared" si="53"/>
        <v>1010531.5460984794</v>
      </c>
      <c r="I109" s="446">
        <f t="shared" si="54"/>
        <v>1010531.5460984794</v>
      </c>
      <c r="J109" s="53">
        <f t="shared" si="34"/>
        <v>0</v>
      </c>
      <c r="K109" s="53"/>
      <c r="L109" s="112"/>
      <c r="M109" s="53">
        <f t="shared" si="35"/>
        <v>0</v>
      </c>
      <c r="N109" s="112"/>
      <c r="O109" s="53">
        <f t="shared" si="36"/>
        <v>0</v>
      </c>
      <c r="P109" s="53">
        <f t="shared" si="37"/>
        <v>0</v>
      </c>
    </row>
    <row r="110" spans="1:16">
      <c r="B110" t="str">
        <f t="shared" si="33"/>
        <v/>
      </c>
      <c r="C110" s="49">
        <f>IF(D94="","-",+C109+1)</f>
        <v>2027</v>
      </c>
      <c r="D110" s="11">
        <f>IF(F109+SUM(E$100:E109)=D$93,F109,D$93-SUM(E$100:E109))</f>
        <v>6152035.5856902692</v>
      </c>
      <c r="E110" s="377">
        <f t="shared" si="50"/>
        <v>301678.95062500006</v>
      </c>
      <c r="F110" s="54">
        <f t="shared" si="51"/>
        <v>5850356.6350652687</v>
      </c>
      <c r="G110" s="54">
        <f t="shared" si="52"/>
        <v>6001196.110377769</v>
      </c>
      <c r="H110" s="459">
        <f t="shared" si="53"/>
        <v>976603.23479918716</v>
      </c>
      <c r="I110" s="446">
        <f t="shared" si="54"/>
        <v>976603.23479918716</v>
      </c>
      <c r="J110" s="53">
        <f t="shared" si="34"/>
        <v>0</v>
      </c>
      <c r="K110" s="53"/>
      <c r="L110" s="112"/>
      <c r="M110" s="53">
        <f t="shared" si="35"/>
        <v>0</v>
      </c>
      <c r="N110" s="112"/>
      <c r="O110" s="53">
        <f t="shared" si="36"/>
        <v>0</v>
      </c>
      <c r="P110" s="53">
        <f t="shared" si="37"/>
        <v>0</v>
      </c>
    </row>
    <row r="111" spans="1:16">
      <c r="B111" t="str">
        <f t="shared" si="33"/>
        <v/>
      </c>
      <c r="C111" s="49">
        <f>IF(D94="","-",+C110+1)</f>
        <v>2028</v>
      </c>
      <c r="D111" s="11">
        <f>IF(F110+SUM(E$100:E110)=D$93,F110,D$93-SUM(E$100:E110))</f>
        <v>5850356.6350652687</v>
      </c>
      <c r="E111" s="377">
        <f t="shared" si="50"/>
        <v>301678.95062500006</v>
      </c>
      <c r="F111" s="54">
        <f t="shared" si="51"/>
        <v>5548677.6844402682</v>
      </c>
      <c r="G111" s="54">
        <f t="shared" si="52"/>
        <v>5699517.1597527685</v>
      </c>
      <c r="H111" s="459">
        <f t="shared" si="53"/>
        <v>942674.92349989503</v>
      </c>
      <c r="I111" s="446">
        <f t="shared" si="54"/>
        <v>942674.92349989503</v>
      </c>
      <c r="J111" s="53">
        <f t="shared" si="34"/>
        <v>0</v>
      </c>
      <c r="K111" s="53"/>
      <c r="L111" s="112"/>
      <c r="M111" s="53">
        <f t="shared" si="35"/>
        <v>0</v>
      </c>
      <c r="N111" s="112"/>
      <c r="O111" s="53">
        <f t="shared" si="36"/>
        <v>0</v>
      </c>
      <c r="P111" s="53">
        <f t="shared" si="37"/>
        <v>0</v>
      </c>
    </row>
    <row r="112" spans="1:16">
      <c r="B112" t="str">
        <f t="shared" si="33"/>
        <v/>
      </c>
      <c r="C112" s="49">
        <f>IF(D94="","-",+C111+1)</f>
        <v>2029</v>
      </c>
      <c r="D112" s="11">
        <f>IF(F111+SUM(E$100:E111)=D$93,F111,D$93-SUM(E$100:E111))</f>
        <v>5548677.6844402682</v>
      </c>
      <c r="E112" s="377">
        <f t="shared" si="50"/>
        <v>301678.95062500006</v>
      </c>
      <c r="F112" s="54">
        <f t="shared" si="51"/>
        <v>5246998.7338152677</v>
      </c>
      <c r="G112" s="54">
        <f t="shared" si="52"/>
        <v>5397838.2091277679</v>
      </c>
      <c r="H112" s="459">
        <f t="shared" si="53"/>
        <v>908746.61220060277</v>
      </c>
      <c r="I112" s="446">
        <f t="shared" si="54"/>
        <v>908746.61220060277</v>
      </c>
      <c r="J112" s="53">
        <f t="shared" si="34"/>
        <v>0</v>
      </c>
      <c r="K112" s="53"/>
      <c r="L112" s="112"/>
      <c r="M112" s="53">
        <f t="shared" si="35"/>
        <v>0</v>
      </c>
      <c r="N112" s="112"/>
      <c r="O112" s="53">
        <f t="shared" si="36"/>
        <v>0</v>
      </c>
      <c r="P112" s="53">
        <f t="shared" si="37"/>
        <v>0</v>
      </c>
    </row>
    <row r="113" spans="2:16">
      <c r="B113" t="str">
        <f t="shared" si="33"/>
        <v/>
      </c>
      <c r="C113" s="49">
        <f>IF(D94="","-",+C112+1)</f>
        <v>2030</v>
      </c>
      <c r="D113" s="11">
        <f>IF(F112+SUM(E$100:E112)=D$93,F112,D$93-SUM(E$100:E112))</f>
        <v>5246998.7338152677</v>
      </c>
      <c r="E113" s="377">
        <f t="shared" si="50"/>
        <v>301678.95062500006</v>
      </c>
      <c r="F113" s="54">
        <f t="shared" si="51"/>
        <v>4945319.7831902672</v>
      </c>
      <c r="G113" s="54">
        <f t="shared" si="52"/>
        <v>5096159.2585027674</v>
      </c>
      <c r="H113" s="459">
        <f t="shared" si="53"/>
        <v>874818.30090131063</v>
      </c>
      <c r="I113" s="446">
        <f t="shared" si="54"/>
        <v>874818.30090131063</v>
      </c>
      <c r="J113" s="53">
        <f t="shared" si="34"/>
        <v>0</v>
      </c>
      <c r="K113" s="53"/>
      <c r="L113" s="112"/>
      <c r="M113" s="53">
        <f t="shared" si="35"/>
        <v>0</v>
      </c>
      <c r="N113" s="112"/>
      <c r="O113" s="53">
        <f t="shared" si="36"/>
        <v>0</v>
      </c>
      <c r="P113" s="53">
        <f t="shared" si="37"/>
        <v>0</v>
      </c>
    </row>
    <row r="114" spans="2:16">
      <c r="B114" t="str">
        <f t="shared" si="33"/>
        <v/>
      </c>
      <c r="C114" s="49">
        <f>IF(D94="","-",+C113+1)</f>
        <v>2031</v>
      </c>
      <c r="D114" s="11">
        <f>IF(F113+SUM(E$100:E113)=D$93,F113,D$93-SUM(E$100:E113))</f>
        <v>4945319.7831902672</v>
      </c>
      <c r="E114" s="377">
        <f t="shared" si="50"/>
        <v>301678.95062500006</v>
      </c>
      <c r="F114" s="54">
        <f t="shared" si="51"/>
        <v>4643640.8325652666</v>
      </c>
      <c r="G114" s="54">
        <f t="shared" si="52"/>
        <v>4794480.3078777669</v>
      </c>
      <c r="H114" s="459">
        <f t="shared" si="53"/>
        <v>840889.98960201838</v>
      </c>
      <c r="I114" s="446">
        <f t="shared" si="54"/>
        <v>840889.98960201838</v>
      </c>
      <c r="J114" s="53">
        <f t="shared" si="34"/>
        <v>0</v>
      </c>
      <c r="K114" s="53"/>
      <c r="L114" s="112"/>
      <c r="M114" s="53">
        <f t="shared" si="35"/>
        <v>0</v>
      </c>
      <c r="N114" s="112"/>
      <c r="O114" s="53">
        <f t="shared" si="36"/>
        <v>0</v>
      </c>
      <c r="P114" s="53">
        <f t="shared" si="37"/>
        <v>0</v>
      </c>
    </row>
    <row r="115" spans="2:16">
      <c r="B115" t="str">
        <f t="shared" si="33"/>
        <v/>
      </c>
      <c r="C115" s="49">
        <f>IF(D94="","-",+C114+1)</f>
        <v>2032</v>
      </c>
      <c r="D115" s="11">
        <f>IF(F114+SUM(E$100:E114)=D$93,F114,D$93-SUM(E$100:E114))</f>
        <v>4643640.8325652666</v>
      </c>
      <c r="E115" s="377">
        <f t="shared" si="50"/>
        <v>301678.95062500006</v>
      </c>
      <c r="F115" s="54">
        <f t="shared" si="51"/>
        <v>4341961.8819402661</v>
      </c>
      <c r="G115" s="54">
        <f t="shared" si="52"/>
        <v>4492801.3572527664</v>
      </c>
      <c r="H115" s="459">
        <f t="shared" si="53"/>
        <v>806961.67830272624</v>
      </c>
      <c r="I115" s="446">
        <f t="shared" si="54"/>
        <v>806961.67830272624</v>
      </c>
      <c r="J115" s="53">
        <f t="shared" si="34"/>
        <v>0</v>
      </c>
      <c r="K115" s="53"/>
      <c r="L115" s="112"/>
      <c r="M115" s="53">
        <f t="shared" si="35"/>
        <v>0</v>
      </c>
      <c r="N115" s="112"/>
      <c r="O115" s="53">
        <f t="shared" si="36"/>
        <v>0</v>
      </c>
      <c r="P115" s="53">
        <f t="shared" si="37"/>
        <v>0</v>
      </c>
    </row>
    <row r="116" spans="2:16">
      <c r="B116" t="str">
        <f t="shared" si="33"/>
        <v/>
      </c>
      <c r="C116" s="49">
        <f>IF(D94="","-",+C115+1)</f>
        <v>2033</v>
      </c>
      <c r="D116" s="11">
        <f>IF(F115+SUM(E$100:E115)=D$93,F115,D$93-SUM(E$100:E115))</f>
        <v>4341961.8819402661</v>
      </c>
      <c r="E116" s="377">
        <f t="shared" si="50"/>
        <v>301678.95062500006</v>
      </c>
      <c r="F116" s="54">
        <f t="shared" si="51"/>
        <v>4040282.9313152661</v>
      </c>
      <c r="G116" s="54">
        <f t="shared" si="52"/>
        <v>4191122.4066277659</v>
      </c>
      <c r="H116" s="459">
        <f t="shared" si="53"/>
        <v>773033.3670034341</v>
      </c>
      <c r="I116" s="446">
        <f t="shared" si="54"/>
        <v>773033.3670034341</v>
      </c>
      <c r="J116" s="53">
        <f t="shared" si="34"/>
        <v>0</v>
      </c>
      <c r="K116" s="53"/>
      <c r="L116" s="112"/>
      <c r="M116" s="53">
        <f t="shared" si="35"/>
        <v>0</v>
      </c>
      <c r="N116" s="112"/>
      <c r="O116" s="53">
        <f t="shared" si="36"/>
        <v>0</v>
      </c>
      <c r="P116" s="53">
        <f t="shared" si="37"/>
        <v>0</v>
      </c>
    </row>
    <row r="117" spans="2:16">
      <c r="B117" t="str">
        <f t="shared" si="33"/>
        <v/>
      </c>
      <c r="C117" s="49">
        <f>IF(D94="","-",+C116+1)</f>
        <v>2034</v>
      </c>
      <c r="D117" s="11">
        <f>IF(F116+SUM(E$100:E116)=D$93,F116,D$93-SUM(E$100:E116))</f>
        <v>4040282.9313152661</v>
      </c>
      <c r="E117" s="377">
        <f t="shared" si="50"/>
        <v>301678.95062500006</v>
      </c>
      <c r="F117" s="54">
        <f t="shared" si="51"/>
        <v>3738603.980690266</v>
      </c>
      <c r="G117" s="54">
        <f t="shared" si="52"/>
        <v>3889443.4560027663</v>
      </c>
      <c r="H117" s="459">
        <f t="shared" si="53"/>
        <v>739105.05570414197</v>
      </c>
      <c r="I117" s="446">
        <f t="shared" si="54"/>
        <v>739105.05570414197</v>
      </c>
      <c r="J117" s="53">
        <f t="shared" si="34"/>
        <v>0</v>
      </c>
      <c r="K117" s="53"/>
      <c r="L117" s="112"/>
      <c r="M117" s="53">
        <f t="shared" si="35"/>
        <v>0</v>
      </c>
      <c r="N117" s="112"/>
      <c r="O117" s="53">
        <f t="shared" si="36"/>
        <v>0</v>
      </c>
      <c r="P117" s="53">
        <f t="shared" si="37"/>
        <v>0</v>
      </c>
    </row>
    <row r="118" spans="2:16">
      <c r="B118" t="str">
        <f t="shared" si="33"/>
        <v/>
      </c>
      <c r="C118" s="49">
        <f>IF(D94="","-",+C117+1)</f>
        <v>2035</v>
      </c>
      <c r="D118" s="11">
        <f>IF(F117+SUM(E$100:E117)=D$93,F117,D$93-SUM(E$100:E117))</f>
        <v>3738603.980690266</v>
      </c>
      <c r="E118" s="377">
        <f t="shared" si="50"/>
        <v>301678.95062500006</v>
      </c>
      <c r="F118" s="54">
        <f t="shared" si="51"/>
        <v>3436925.0300652659</v>
      </c>
      <c r="G118" s="54">
        <f t="shared" si="52"/>
        <v>3587764.5053777657</v>
      </c>
      <c r="H118" s="459">
        <f t="shared" si="53"/>
        <v>705176.74440484983</v>
      </c>
      <c r="I118" s="446">
        <f t="shared" si="54"/>
        <v>705176.74440484983</v>
      </c>
      <c r="J118" s="53">
        <f t="shared" si="34"/>
        <v>0</v>
      </c>
      <c r="K118" s="53"/>
      <c r="L118" s="112"/>
      <c r="M118" s="53">
        <f t="shared" si="35"/>
        <v>0</v>
      </c>
      <c r="N118" s="112"/>
      <c r="O118" s="53">
        <f t="shared" si="36"/>
        <v>0</v>
      </c>
      <c r="P118" s="53">
        <f t="shared" si="37"/>
        <v>0</v>
      </c>
    </row>
    <row r="119" spans="2:16">
      <c r="B119" t="str">
        <f t="shared" si="33"/>
        <v/>
      </c>
      <c r="C119" s="49">
        <f>IF(D94="","-",+C118+1)</f>
        <v>2036</v>
      </c>
      <c r="D119" s="11">
        <f>IF(F118+SUM(E$100:E118)=D$93,F118,D$93-SUM(E$100:E118))</f>
        <v>3436925.0300652659</v>
      </c>
      <c r="E119" s="377">
        <f t="shared" si="50"/>
        <v>301678.95062500006</v>
      </c>
      <c r="F119" s="54">
        <f t="shared" si="51"/>
        <v>3135246.0794402659</v>
      </c>
      <c r="G119" s="54">
        <f t="shared" si="52"/>
        <v>3286085.5547527662</v>
      </c>
      <c r="H119" s="459">
        <f t="shared" si="53"/>
        <v>671248.43310555769</v>
      </c>
      <c r="I119" s="446">
        <f t="shared" si="54"/>
        <v>671248.43310555769</v>
      </c>
      <c r="J119" s="53">
        <f t="shared" si="34"/>
        <v>0</v>
      </c>
      <c r="K119" s="53"/>
      <c r="L119" s="112"/>
      <c r="M119" s="53">
        <f t="shared" si="35"/>
        <v>0</v>
      </c>
      <c r="N119" s="112"/>
      <c r="O119" s="53">
        <f t="shared" si="36"/>
        <v>0</v>
      </c>
      <c r="P119" s="53">
        <f t="shared" si="37"/>
        <v>0</v>
      </c>
    </row>
    <row r="120" spans="2:16">
      <c r="B120" t="str">
        <f t="shared" si="33"/>
        <v/>
      </c>
      <c r="C120" s="49">
        <f>IF(D94="","-",+C119+1)</f>
        <v>2037</v>
      </c>
      <c r="D120" s="11">
        <f>IF(F119+SUM(E$100:E119)=D$93,F119,D$93-SUM(E$100:E119))</f>
        <v>3135246.0794402659</v>
      </c>
      <c r="E120" s="377">
        <f t="shared" si="50"/>
        <v>301678.95062500006</v>
      </c>
      <c r="F120" s="54">
        <f t="shared" si="51"/>
        <v>2833567.1288152658</v>
      </c>
      <c r="G120" s="54">
        <f t="shared" si="52"/>
        <v>2984406.6041277656</v>
      </c>
      <c r="H120" s="459">
        <f t="shared" si="53"/>
        <v>637320.12180626544</v>
      </c>
      <c r="I120" s="446">
        <f t="shared" si="54"/>
        <v>637320.12180626544</v>
      </c>
      <c r="J120" s="53">
        <f t="shared" si="34"/>
        <v>0</v>
      </c>
      <c r="K120" s="53"/>
      <c r="L120" s="112"/>
      <c r="M120" s="53">
        <f t="shared" si="35"/>
        <v>0</v>
      </c>
      <c r="N120" s="112"/>
      <c r="O120" s="53">
        <f t="shared" si="36"/>
        <v>0</v>
      </c>
      <c r="P120" s="53">
        <f t="shared" si="37"/>
        <v>0</v>
      </c>
    </row>
    <row r="121" spans="2:16">
      <c r="B121" t="str">
        <f t="shared" si="33"/>
        <v/>
      </c>
      <c r="C121" s="49">
        <f>IF(D94="","-",+C120+1)</f>
        <v>2038</v>
      </c>
      <c r="D121" s="11">
        <f>IF(F120+SUM(E$100:E120)=D$93,F120,D$93-SUM(E$100:E120))</f>
        <v>2833567.1288152658</v>
      </c>
      <c r="E121" s="377">
        <f t="shared" si="50"/>
        <v>301678.95062500006</v>
      </c>
      <c r="F121" s="54">
        <f t="shared" si="51"/>
        <v>2531888.1781902658</v>
      </c>
      <c r="G121" s="54">
        <f t="shared" si="52"/>
        <v>2682727.653502766</v>
      </c>
      <c r="H121" s="459">
        <f t="shared" si="53"/>
        <v>603391.81050697342</v>
      </c>
      <c r="I121" s="446">
        <f t="shared" si="54"/>
        <v>603391.81050697342</v>
      </c>
      <c r="J121" s="53">
        <f t="shared" si="34"/>
        <v>0</v>
      </c>
      <c r="K121" s="53"/>
      <c r="L121" s="112"/>
      <c r="M121" s="53">
        <f t="shared" si="35"/>
        <v>0</v>
      </c>
      <c r="N121" s="112"/>
      <c r="O121" s="53">
        <f t="shared" si="36"/>
        <v>0</v>
      </c>
      <c r="P121" s="53">
        <f t="shared" si="37"/>
        <v>0</v>
      </c>
    </row>
    <row r="122" spans="2:16">
      <c r="B122" t="str">
        <f t="shared" si="33"/>
        <v/>
      </c>
      <c r="C122" s="49">
        <f>IF(D94="","-",+C121+1)</f>
        <v>2039</v>
      </c>
      <c r="D122" s="11">
        <f>IF(F121+SUM(E$100:E121)=D$93,F121,D$93-SUM(E$100:E121))</f>
        <v>2531888.1781902658</v>
      </c>
      <c r="E122" s="377">
        <f t="shared" si="50"/>
        <v>301678.95062500006</v>
      </c>
      <c r="F122" s="54">
        <f t="shared" si="51"/>
        <v>2230209.2275652657</v>
      </c>
      <c r="G122" s="54">
        <f t="shared" si="52"/>
        <v>2381048.7028777655</v>
      </c>
      <c r="H122" s="459">
        <f t="shared" si="53"/>
        <v>569463.49920768116</v>
      </c>
      <c r="I122" s="446">
        <f t="shared" si="54"/>
        <v>569463.49920768116</v>
      </c>
      <c r="J122" s="53">
        <f t="shared" si="34"/>
        <v>0</v>
      </c>
      <c r="K122" s="53"/>
      <c r="L122" s="112"/>
      <c r="M122" s="53">
        <f t="shared" si="35"/>
        <v>0</v>
      </c>
      <c r="N122" s="112"/>
      <c r="O122" s="53">
        <f t="shared" si="36"/>
        <v>0</v>
      </c>
      <c r="P122" s="53">
        <f t="shared" si="37"/>
        <v>0</v>
      </c>
    </row>
    <row r="123" spans="2:16">
      <c r="B123" t="str">
        <f t="shared" si="33"/>
        <v/>
      </c>
      <c r="C123" s="49">
        <f>IF(D94="","-",+C122+1)</f>
        <v>2040</v>
      </c>
      <c r="D123" s="11">
        <f>IF(F122+SUM(E$100:E122)=D$93,F122,D$93-SUM(E$100:E122))</f>
        <v>2230209.2275652657</v>
      </c>
      <c r="E123" s="377">
        <f t="shared" si="50"/>
        <v>301678.95062500006</v>
      </c>
      <c r="F123" s="54">
        <f t="shared" si="51"/>
        <v>1928530.2769402657</v>
      </c>
      <c r="G123" s="54">
        <f t="shared" si="52"/>
        <v>2079369.7522527657</v>
      </c>
      <c r="H123" s="459">
        <f t="shared" si="53"/>
        <v>535535.18790838902</v>
      </c>
      <c r="I123" s="446">
        <f t="shared" si="54"/>
        <v>535535.18790838902</v>
      </c>
      <c r="J123" s="53">
        <f t="shared" si="34"/>
        <v>0</v>
      </c>
      <c r="K123" s="53"/>
      <c r="L123" s="112"/>
      <c r="M123" s="53">
        <f t="shared" si="35"/>
        <v>0</v>
      </c>
      <c r="N123" s="112"/>
      <c r="O123" s="53">
        <f t="shared" si="36"/>
        <v>0</v>
      </c>
      <c r="P123" s="53">
        <f t="shared" si="37"/>
        <v>0</v>
      </c>
    </row>
    <row r="124" spans="2:16">
      <c r="B124" t="str">
        <f t="shared" si="33"/>
        <v/>
      </c>
      <c r="C124" s="49">
        <f>IF(D94="","-",+C123+1)</f>
        <v>2041</v>
      </c>
      <c r="D124" s="11">
        <f>IF(F123+SUM(E$100:E123)=D$93,F123,D$93-SUM(E$100:E123))</f>
        <v>1928530.2769402657</v>
      </c>
      <c r="E124" s="377">
        <f t="shared" si="50"/>
        <v>301678.95062500006</v>
      </c>
      <c r="F124" s="54">
        <f t="shared" si="51"/>
        <v>1626851.3263152656</v>
      </c>
      <c r="G124" s="54">
        <f t="shared" si="52"/>
        <v>1777690.8016277656</v>
      </c>
      <c r="H124" s="459">
        <f t="shared" si="53"/>
        <v>501606.87660909689</v>
      </c>
      <c r="I124" s="446">
        <f t="shared" si="54"/>
        <v>501606.87660909689</v>
      </c>
      <c r="J124" s="53">
        <f t="shared" si="34"/>
        <v>0</v>
      </c>
      <c r="K124" s="53"/>
      <c r="L124" s="112"/>
      <c r="M124" s="53">
        <f t="shared" si="35"/>
        <v>0</v>
      </c>
      <c r="N124" s="112"/>
      <c r="O124" s="53">
        <f t="shared" si="36"/>
        <v>0</v>
      </c>
      <c r="P124" s="53">
        <f t="shared" si="37"/>
        <v>0</v>
      </c>
    </row>
    <row r="125" spans="2:16">
      <c r="B125" t="str">
        <f t="shared" si="33"/>
        <v/>
      </c>
      <c r="C125" s="49">
        <f>IF(D94="","-",+C124+1)</f>
        <v>2042</v>
      </c>
      <c r="D125" s="11">
        <f>IF(F124+SUM(E$100:E124)=D$93,F124,D$93-SUM(E$100:E124))</f>
        <v>1626851.3263152656</v>
      </c>
      <c r="E125" s="377">
        <f t="shared" si="50"/>
        <v>301678.95062500006</v>
      </c>
      <c r="F125" s="54">
        <f t="shared" si="51"/>
        <v>1325172.3756902656</v>
      </c>
      <c r="G125" s="54">
        <f t="shared" si="52"/>
        <v>1476011.8510027656</v>
      </c>
      <c r="H125" s="459">
        <f t="shared" si="53"/>
        <v>467678.56530980475</v>
      </c>
      <c r="I125" s="446">
        <f t="shared" si="54"/>
        <v>467678.56530980475</v>
      </c>
      <c r="J125" s="53">
        <f t="shared" si="34"/>
        <v>0</v>
      </c>
      <c r="K125" s="53"/>
      <c r="L125" s="112"/>
      <c r="M125" s="53">
        <f t="shared" si="35"/>
        <v>0</v>
      </c>
      <c r="N125" s="112"/>
      <c r="O125" s="53">
        <f t="shared" si="36"/>
        <v>0</v>
      </c>
      <c r="P125" s="53">
        <f t="shared" si="37"/>
        <v>0</v>
      </c>
    </row>
    <row r="126" spans="2:16">
      <c r="B126" t="str">
        <f t="shared" si="33"/>
        <v>IU</v>
      </c>
      <c r="C126" s="49">
        <f>IF(D94="","-",+C125+1)</f>
        <v>2043</v>
      </c>
      <c r="D126" s="11">
        <f>IF(F125+SUM(E$100:E125)=D$93,F125,D$93-SUM(E$100:E125))</f>
        <v>1325172.3756902628</v>
      </c>
      <c r="E126" s="377">
        <f t="shared" si="50"/>
        <v>301678.95062500006</v>
      </c>
      <c r="F126" s="54">
        <f t="shared" si="51"/>
        <v>1023493.4250652627</v>
      </c>
      <c r="G126" s="54">
        <f t="shared" si="52"/>
        <v>1174332.9003777627</v>
      </c>
      <c r="H126" s="459">
        <f t="shared" si="53"/>
        <v>433750.25401051232</v>
      </c>
      <c r="I126" s="446">
        <f t="shared" si="54"/>
        <v>433750.25401051232</v>
      </c>
      <c r="J126" s="53">
        <f t="shared" si="34"/>
        <v>0</v>
      </c>
      <c r="K126" s="53"/>
      <c r="L126" s="112"/>
      <c r="M126" s="53">
        <f t="shared" si="35"/>
        <v>0</v>
      </c>
      <c r="N126" s="112"/>
      <c r="O126" s="53">
        <f t="shared" si="36"/>
        <v>0</v>
      </c>
      <c r="P126" s="53">
        <f t="shared" si="37"/>
        <v>0</v>
      </c>
    </row>
    <row r="127" spans="2:16">
      <c r="B127" t="str">
        <f t="shared" si="33"/>
        <v/>
      </c>
      <c r="C127" s="49">
        <f>IF(D94="","-",+C126+1)</f>
        <v>2044</v>
      </c>
      <c r="D127" s="11">
        <f>IF(F126+SUM(E$100:E126)=D$93,F126,D$93-SUM(E$100:E126))</f>
        <v>1023493.4250652627</v>
      </c>
      <c r="E127" s="377">
        <f t="shared" si="50"/>
        <v>301678.95062500006</v>
      </c>
      <c r="F127" s="54">
        <f t="shared" si="51"/>
        <v>721814.47444026265</v>
      </c>
      <c r="G127" s="54">
        <f t="shared" si="52"/>
        <v>872653.94975276268</v>
      </c>
      <c r="H127" s="459">
        <f t="shared" si="53"/>
        <v>399821.94271122018</v>
      </c>
      <c r="I127" s="446">
        <f t="shared" si="54"/>
        <v>399821.94271122018</v>
      </c>
      <c r="J127" s="53">
        <f t="shared" si="34"/>
        <v>0</v>
      </c>
      <c r="K127" s="53"/>
      <c r="L127" s="112"/>
      <c r="M127" s="53">
        <f t="shared" si="35"/>
        <v>0</v>
      </c>
      <c r="N127" s="112"/>
      <c r="O127" s="53">
        <f t="shared" si="36"/>
        <v>0</v>
      </c>
      <c r="P127" s="53">
        <f t="shared" si="37"/>
        <v>0</v>
      </c>
    </row>
    <row r="128" spans="2:16">
      <c r="B128" t="str">
        <f t="shared" si="33"/>
        <v/>
      </c>
      <c r="C128" s="49">
        <f>IF(D94="","-",+C127+1)</f>
        <v>2045</v>
      </c>
      <c r="D128" s="11">
        <f>IF(F127+SUM(E$100:E127)=D$93,F127,D$93-SUM(E$100:E127))</f>
        <v>721814.47444026265</v>
      </c>
      <c r="E128" s="377">
        <f t="shared" si="50"/>
        <v>301678.95062500006</v>
      </c>
      <c r="F128" s="54">
        <f t="shared" si="51"/>
        <v>420135.5238152626</v>
      </c>
      <c r="G128" s="54">
        <f t="shared" si="52"/>
        <v>570974.99912776262</v>
      </c>
      <c r="H128" s="459">
        <f t="shared" si="53"/>
        <v>365893.63141192804</v>
      </c>
      <c r="I128" s="446">
        <f t="shared" si="54"/>
        <v>365893.63141192804</v>
      </c>
      <c r="J128" s="53">
        <f t="shared" si="34"/>
        <v>0</v>
      </c>
      <c r="K128" s="53"/>
      <c r="L128" s="112"/>
      <c r="M128" s="53">
        <f t="shared" si="35"/>
        <v>0</v>
      </c>
      <c r="N128" s="112"/>
      <c r="O128" s="53">
        <f t="shared" si="36"/>
        <v>0</v>
      </c>
      <c r="P128" s="53">
        <f t="shared" si="37"/>
        <v>0</v>
      </c>
    </row>
    <row r="129" spans="2:16">
      <c r="B129" t="str">
        <f t="shared" si="33"/>
        <v/>
      </c>
      <c r="C129" s="49">
        <f>IF(D94="","-",+C128+1)</f>
        <v>2046</v>
      </c>
      <c r="D129" s="11">
        <f>IF(F128+SUM(E$100:E128)=D$93,F128,D$93-SUM(E$100:E128))</f>
        <v>420135.5238152626</v>
      </c>
      <c r="E129" s="377">
        <f t="shared" si="50"/>
        <v>301678.95062500006</v>
      </c>
      <c r="F129" s="54">
        <f t="shared" si="51"/>
        <v>118456.57319026254</v>
      </c>
      <c r="G129" s="54">
        <f t="shared" si="52"/>
        <v>269296.04850276257</v>
      </c>
      <c r="H129" s="459">
        <f t="shared" si="53"/>
        <v>331965.32011263591</v>
      </c>
      <c r="I129" s="446">
        <f t="shared" si="54"/>
        <v>331965.32011263591</v>
      </c>
      <c r="J129" s="53">
        <f t="shared" si="34"/>
        <v>0</v>
      </c>
      <c r="K129" s="53"/>
      <c r="L129" s="112"/>
      <c r="M129" s="53">
        <f t="shared" si="35"/>
        <v>0</v>
      </c>
      <c r="N129" s="112"/>
      <c r="O129" s="53">
        <f t="shared" si="36"/>
        <v>0</v>
      </c>
      <c r="P129" s="53">
        <f t="shared" si="37"/>
        <v>0</v>
      </c>
    </row>
    <row r="130" spans="2:16">
      <c r="B130" t="str">
        <f t="shared" si="33"/>
        <v/>
      </c>
      <c r="C130" s="49">
        <f>IF(D94="","-",+C129+1)</f>
        <v>2047</v>
      </c>
      <c r="D130" s="11">
        <f>IF(F129+SUM(E$100:E129)=D$93,F129,D$93-SUM(E$100:E129))</f>
        <v>118456.57319026254</v>
      </c>
      <c r="E130" s="377">
        <f t="shared" si="50"/>
        <v>118456.57319026254</v>
      </c>
      <c r="F130" s="54">
        <f t="shared" si="51"/>
        <v>0</v>
      </c>
      <c r="G130" s="54">
        <f t="shared" si="52"/>
        <v>59228.286595131271</v>
      </c>
      <c r="H130" s="459">
        <f t="shared" si="53"/>
        <v>125117.68010925743</v>
      </c>
      <c r="I130" s="446">
        <f t="shared" si="54"/>
        <v>125117.68010925743</v>
      </c>
      <c r="J130" s="53">
        <f t="shared" si="34"/>
        <v>0</v>
      </c>
      <c r="K130" s="53"/>
      <c r="L130" s="112"/>
      <c r="M130" s="53">
        <f t="shared" si="35"/>
        <v>0</v>
      </c>
      <c r="N130" s="112"/>
      <c r="O130" s="53">
        <f t="shared" si="36"/>
        <v>0</v>
      </c>
      <c r="P130" s="53">
        <f t="shared" si="37"/>
        <v>0</v>
      </c>
    </row>
    <row r="131" spans="2:16">
      <c r="B131" t="str">
        <f t="shared" si="33"/>
        <v/>
      </c>
      <c r="C131" s="49">
        <f>IF(D94="","-",+C130+1)</f>
        <v>2048</v>
      </c>
      <c r="D131" s="11">
        <f>IF(F130+SUM(E$100:E130)=D$93,F130,D$93-SUM(E$100:E130))</f>
        <v>0</v>
      </c>
      <c r="E131" s="377">
        <f t="shared" si="50"/>
        <v>0</v>
      </c>
      <c r="F131" s="54">
        <f t="shared" si="51"/>
        <v>0</v>
      </c>
      <c r="G131" s="54">
        <f t="shared" si="52"/>
        <v>0</v>
      </c>
      <c r="H131" s="459">
        <f t="shared" si="53"/>
        <v>0</v>
      </c>
      <c r="I131" s="446">
        <f t="shared" si="54"/>
        <v>0</v>
      </c>
      <c r="J131" s="53">
        <f t="shared" si="34"/>
        <v>0</v>
      </c>
      <c r="K131" s="53"/>
      <c r="L131" s="112"/>
      <c r="M131" s="53">
        <f t="shared" si="35"/>
        <v>0</v>
      </c>
      <c r="N131" s="112"/>
      <c r="O131" s="53">
        <f t="shared" si="36"/>
        <v>0</v>
      </c>
      <c r="P131" s="53">
        <f t="shared" si="37"/>
        <v>0</v>
      </c>
    </row>
    <row r="132" spans="2:16">
      <c r="B132" t="str">
        <f t="shared" si="33"/>
        <v/>
      </c>
      <c r="C132" s="49">
        <f>IF(D94="","-",+C131+1)</f>
        <v>2049</v>
      </c>
      <c r="D132" s="11">
        <f>IF(F131+SUM(E$100:E131)=D$93,F131,D$93-SUM(E$100:E131))</f>
        <v>0</v>
      </c>
      <c r="E132" s="377">
        <f t="shared" si="50"/>
        <v>0</v>
      </c>
      <c r="F132" s="54">
        <f t="shared" ref="F132:F155" si="55">+D132-E132</f>
        <v>0</v>
      </c>
      <c r="G132" s="54">
        <f t="shared" ref="G132:G155" si="56">+(F132+D132)/2</f>
        <v>0</v>
      </c>
      <c r="H132" s="459">
        <f t="shared" si="53"/>
        <v>0</v>
      </c>
      <c r="I132" s="446">
        <f t="shared" si="54"/>
        <v>0</v>
      </c>
      <c r="J132" s="53">
        <f t="shared" ref="J132:J155" si="57">+I542-H542</f>
        <v>0</v>
      </c>
      <c r="K132" s="53"/>
      <c r="L132" s="112"/>
      <c r="M132" s="53">
        <f t="shared" ref="M132:M155" si="58">IF(L542&lt;&gt;0,+H542-L542,0)</f>
        <v>0</v>
      </c>
      <c r="N132" s="112"/>
      <c r="O132" s="53">
        <f t="shared" ref="O132:O155" si="59">IF(N542&lt;&gt;0,+I542-N542,0)</f>
        <v>0</v>
      </c>
      <c r="P132" s="53">
        <f t="shared" ref="P132:P155" si="60">+O542-M542</f>
        <v>0</v>
      </c>
    </row>
    <row r="133" spans="2:16">
      <c r="B133" t="str">
        <f t="shared" si="33"/>
        <v/>
      </c>
      <c r="C133" s="49">
        <f>IF(D94="","-",+C132+1)</f>
        <v>2050</v>
      </c>
      <c r="D133" s="11">
        <f>IF(F132+SUM(E$100:E132)=D$93,F132,D$93-SUM(E$100:E132))</f>
        <v>0</v>
      </c>
      <c r="E133" s="377">
        <f t="shared" ref="E133:E155" si="61">IF(+J$97&lt;F132,J$97,D133)</f>
        <v>0</v>
      </c>
      <c r="F133" s="54">
        <f t="shared" si="55"/>
        <v>0</v>
      </c>
      <c r="G133" s="54">
        <f t="shared" si="56"/>
        <v>0</v>
      </c>
      <c r="H133" s="459">
        <f t="shared" si="53"/>
        <v>0</v>
      </c>
      <c r="I133" s="446">
        <f t="shared" si="54"/>
        <v>0</v>
      </c>
      <c r="J133" s="53">
        <f t="shared" si="57"/>
        <v>0</v>
      </c>
      <c r="K133" s="53"/>
      <c r="L133" s="112"/>
      <c r="M133" s="53">
        <f t="shared" si="58"/>
        <v>0</v>
      </c>
      <c r="N133" s="112"/>
      <c r="O133" s="53">
        <f t="shared" si="59"/>
        <v>0</v>
      </c>
      <c r="P133" s="53">
        <f t="shared" si="60"/>
        <v>0</v>
      </c>
    </row>
    <row r="134" spans="2:16">
      <c r="B134" t="str">
        <f t="shared" si="33"/>
        <v/>
      </c>
      <c r="C134" s="49">
        <f>IF(D94="","-",+C133+1)</f>
        <v>2051</v>
      </c>
      <c r="D134" s="11">
        <f>IF(F133+SUM(E$100:E133)=D$93,F133,D$93-SUM(E$100:E133))</f>
        <v>0</v>
      </c>
      <c r="E134" s="377">
        <f t="shared" si="61"/>
        <v>0</v>
      </c>
      <c r="F134" s="54">
        <f t="shared" si="55"/>
        <v>0</v>
      </c>
      <c r="G134" s="54">
        <f t="shared" si="56"/>
        <v>0</v>
      </c>
      <c r="H134" s="459">
        <f t="shared" si="53"/>
        <v>0</v>
      </c>
      <c r="I134" s="446">
        <f t="shared" si="54"/>
        <v>0</v>
      </c>
      <c r="J134" s="53">
        <f t="shared" si="57"/>
        <v>0</v>
      </c>
      <c r="K134" s="53"/>
      <c r="L134" s="112"/>
      <c r="M134" s="53">
        <f t="shared" si="58"/>
        <v>0</v>
      </c>
      <c r="N134" s="112"/>
      <c r="O134" s="53">
        <f t="shared" si="59"/>
        <v>0</v>
      </c>
      <c r="P134" s="53">
        <f t="shared" si="60"/>
        <v>0</v>
      </c>
    </row>
    <row r="135" spans="2:16">
      <c r="B135" t="str">
        <f t="shared" si="33"/>
        <v/>
      </c>
      <c r="C135" s="49">
        <f>IF(D94="","-",+C134+1)</f>
        <v>2052</v>
      </c>
      <c r="D135" s="11">
        <f>IF(F134+SUM(E$100:E134)=D$93,F134,D$93-SUM(E$100:E134))</f>
        <v>0</v>
      </c>
      <c r="E135" s="377">
        <f t="shared" si="61"/>
        <v>0</v>
      </c>
      <c r="F135" s="54">
        <f t="shared" si="55"/>
        <v>0</v>
      </c>
      <c r="G135" s="54">
        <f t="shared" si="56"/>
        <v>0</v>
      </c>
      <c r="H135" s="459">
        <f t="shared" si="53"/>
        <v>0</v>
      </c>
      <c r="I135" s="446">
        <f t="shared" si="54"/>
        <v>0</v>
      </c>
      <c r="J135" s="53">
        <f t="shared" si="57"/>
        <v>0</v>
      </c>
      <c r="K135" s="53"/>
      <c r="L135" s="112"/>
      <c r="M135" s="53">
        <f t="shared" si="58"/>
        <v>0</v>
      </c>
      <c r="N135" s="112"/>
      <c r="O135" s="53">
        <f t="shared" si="59"/>
        <v>0</v>
      </c>
      <c r="P135" s="53">
        <f t="shared" si="60"/>
        <v>0</v>
      </c>
    </row>
    <row r="136" spans="2:16">
      <c r="B136" t="str">
        <f t="shared" si="33"/>
        <v/>
      </c>
      <c r="C136" s="49">
        <f>IF(D94="","-",+C135+1)</f>
        <v>2053</v>
      </c>
      <c r="D136" s="11">
        <f>IF(F135+SUM(E$100:E135)=D$93,F135,D$93-SUM(E$100:E135))</f>
        <v>0</v>
      </c>
      <c r="E136" s="377">
        <f t="shared" si="61"/>
        <v>0</v>
      </c>
      <c r="F136" s="54">
        <f t="shared" si="55"/>
        <v>0</v>
      </c>
      <c r="G136" s="54">
        <f t="shared" si="56"/>
        <v>0</v>
      </c>
      <c r="H136" s="459">
        <f t="shared" si="53"/>
        <v>0</v>
      </c>
      <c r="I136" s="446">
        <f t="shared" si="54"/>
        <v>0</v>
      </c>
      <c r="J136" s="53">
        <f t="shared" si="57"/>
        <v>0</v>
      </c>
      <c r="K136" s="53"/>
      <c r="L136" s="112"/>
      <c r="M136" s="53">
        <f t="shared" si="58"/>
        <v>0</v>
      </c>
      <c r="N136" s="112"/>
      <c r="O136" s="53">
        <f t="shared" si="59"/>
        <v>0</v>
      </c>
      <c r="P136" s="53">
        <f t="shared" si="60"/>
        <v>0</v>
      </c>
    </row>
    <row r="137" spans="2:16">
      <c r="B137" t="str">
        <f t="shared" si="33"/>
        <v/>
      </c>
      <c r="C137" s="49">
        <f>IF(D94="","-",+C136+1)</f>
        <v>2054</v>
      </c>
      <c r="D137" s="11">
        <f>IF(F136+SUM(E$100:E136)=D$93,F136,D$93-SUM(E$100:E136))</f>
        <v>0</v>
      </c>
      <c r="E137" s="377">
        <f t="shared" si="61"/>
        <v>0</v>
      </c>
      <c r="F137" s="54">
        <f t="shared" si="55"/>
        <v>0</v>
      </c>
      <c r="G137" s="54">
        <f t="shared" si="56"/>
        <v>0</v>
      </c>
      <c r="H137" s="459">
        <f t="shared" si="53"/>
        <v>0</v>
      </c>
      <c r="I137" s="446">
        <f t="shared" si="54"/>
        <v>0</v>
      </c>
      <c r="J137" s="53">
        <f t="shared" si="57"/>
        <v>0</v>
      </c>
      <c r="K137" s="53"/>
      <c r="L137" s="112"/>
      <c r="M137" s="53">
        <f t="shared" si="58"/>
        <v>0</v>
      </c>
      <c r="N137" s="112"/>
      <c r="O137" s="53">
        <f t="shared" si="59"/>
        <v>0</v>
      </c>
      <c r="P137" s="53">
        <f t="shared" si="60"/>
        <v>0</v>
      </c>
    </row>
    <row r="138" spans="2:16">
      <c r="B138" t="str">
        <f t="shared" si="33"/>
        <v/>
      </c>
      <c r="C138" s="49">
        <f>IF(D94="","-",+C137+1)</f>
        <v>2055</v>
      </c>
      <c r="D138" s="11">
        <f>IF(F137+SUM(E$100:E137)=D$93,F137,D$93-SUM(E$100:E137))</f>
        <v>0</v>
      </c>
      <c r="E138" s="377">
        <f t="shared" si="61"/>
        <v>0</v>
      </c>
      <c r="F138" s="54">
        <f t="shared" si="55"/>
        <v>0</v>
      </c>
      <c r="G138" s="54">
        <f t="shared" si="56"/>
        <v>0</v>
      </c>
      <c r="H138" s="459">
        <f t="shared" si="53"/>
        <v>0</v>
      </c>
      <c r="I138" s="446">
        <f t="shared" si="54"/>
        <v>0</v>
      </c>
      <c r="J138" s="53">
        <f t="shared" si="57"/>
        <v>0</v>
      </c>
      <c r="K138" s="53"/>
      <c r="L138" s="112"/>
      <c r="M138" s="53">
        <f t="shared" si="58"/>
        <v>0</v>
      </c>
      <c r="N138" s="112"/>
      <c r="O138" s="53">
        <f t="shared" si="59"/>
        <v>0</v>
      </c>
      <c r="P138" s="53">
        <f t="shared" si="60"/>
        <v>0</v>
      </c>
    </row>
    <row r="139" spans="2:16">
      <c r="B139" t="str">
        <f t="shared" si="33"/>
        <v/>
      </c>
      <c r="C139" s="49">
        <f>IF(D94="","-",+C138+1)</f>
        <v>2056</v>
      </c>
      <c r="D139" s="11">
        <f>IF(F138+SUM(E$100:E138)=D$93,F138,D$93-SUM(E$100:E138))</f>
        <v>0</v>
      </c>
      <c r="E139" s="377">
        <f t="shared" si="61"/>
        <v>0</v>
      </c>
      <c r="F139" s="54">
        <f t="shared" si="55"/>
        <v>0</v>
      </c>
      <c r="G139" s="54">
        <f t="shared" si="56"/>
        <v>0</v>
      </c>
      <c r="H139" s="459">
        <f t="shared" si="53"/>
        <v>0</v>
      </c>
      <c r="I139" s="446">
        <f t="shared" si="54"/>
        <v>0</v>
      </c>
      <c r="J139" s="53">
        <f t="shared" si="57"/>
        <v>0</v>
      </c>
      <c r="K139" s="53"/>
      <c r="L139" s="112"/>
      <c r="M139" s="53">
        <f t="shared" si="58"/>
        <v>0</v>
      </c>
      <c r="N139" s="112"/>
      <c r="O139" s="53">
        <f t="shared" si="59"/>
        <v>0</v>
      </c>
      <c r="P139" s="53">
        <f t="shared" si="60"/>
        <v>0</v>
      </c>
    </row>
    <row r="140" spans="2:16">
      <c r="B140" t="str">
        <f t="shared" si="33"/>
        <v/>
      </c>
      <c r="C140" s="49">
        <f>IF(D94="","-",+C139+1)</f>
        <v>2057</v>
      </c>
      <c r="D140" s="11">
        <f>IF(F139+SUM(E$100:E139)=D$93,F139,D$93-SUM(E$100:E139))</f>
        <v>0</v>
      </c>
      <c r="E140" s="377">
        <f t="shared" si="61"/>
        <v>0</v>
      </c>
      <c r="F140" s="54">
        <f t="shared" si="55"/>
        <v>0</v>
      </c>
      <c r="G140" s="54">
        <f t="shared" si="56"/>
        <v>0</v>
      </c>
      <c r="H140" s="459">
        <f t="shared" si="53"/>
        <v>0</v>
      </c>
      <c r="I140" s="446">
        <f t="shared" si="54"/>
        <v>0</v>
      </c>
      <c r="J140" s="53">
        <f t="shared" si="57"/>
        <v>0</v>
      </c>
      <c r="K140" s="53"/>
      <c r="L140" s="112"/>
      <c r="M140" s="53">
        <f t="shared" si="58"/>
        <v>0</v>
      </c>
      <c r="N140" s="112"/>
      <c r="O140" s="53">
        <f t="shared" si="59"/>
        <v>0</v>
      </c>
      <c r="P140" s="53">
        <f t="shared" si="60"/>
        <v>0</v>
      </c>
    </row>
    <row r="141" spans="2:16">
      <c r="B141" t="str">
        <f t="shared" si="33"/>
        <v/>
      </c>
      <c r="C141" s="49">
        <f>IF(D94="","-",+C140+1)</f>
        <v>2058</v>
      </c>
      <c r="D141" s="11">
        <f>IF(F140+SUM(E$100:E140)=D$93,F140,D$93-SUM(E$100:E140))</f>
        <v>0</v>
      </c>
      <c r="E141" s="377">
        <f t="shared" si="61"/>
        <v>0</v>
      </c>
      <c r="F141" s="54">
        <f t="shared" si="55"/>
        <v>0</v>
      </c>
      <c r="G141" s="54">
        <f t="shared" si="56"/>
        <v>0</v>
      </c>
      <c r="H141" s="459">
        <f t="shared" si="53"/>
        <v>0</v>
      </c>
      <c r="I141" s="446">
        <f t="shared" si="54"/>
        <v>0</v>
      </c>
      <c r="J141" s="53">
        <f t="shared" si="57"/>
        <v>0</v>
      </c>
      <c r="K141" s="53"/>
      <c r="L141" s="112"/>
      <c r="M141" s="53">
        <f t="shared" si="58"/>
        <v>0</v>
      </c>
      <c r="N141" s="112"/>
      <c r="O141" s="53">
        <f t="shared" si="59"/>
        <v>0</v>
      </c>
      <c r="P141" s="53">
        <f t="shared" si="60"/>
        <v>0</v>
      </c>
    </row>
    <row r="142" spans="2:16">
      <c r="B142" t="str">
        <f t="shared" si="33"/>
        <v/>
      </c>
      <c r="C142" s="49">
        <f>IF(D94="","-",+C141+1)</f>
        <v>2059</v>
      </c>
      <c r="D142" s="11">
        <f>IF(F141+SUM(E$100:E141)=D$93,F141,D$93-SUM(E$100:E141))</f>
        <v>0</v>
      </c>
      <c r="E142" s="377">
        <f t="shared" si="61"/>
        <v>0</v>
      </c>
      <c r="F142" s="54">
        <f t="shared" si="55"/>
        <v>0</v>
      </c>
      <c r="G142" s="54">
        <f t="shared" si="56"/>
        <v>0</v>
      </c>
      <c r="H142" s="459">
        <f t="shared" si="53"/>
        <v>0</v>
      </c>
      <c r="I142" s="446">
        <f t="shared" si="54"/>
        <v>0</v>
      </c>
      <c r="J142" s="53">
        <f t="shared" si="57"/>
        <v>0</v>
      </c>
      <c r="K142" s="53"/>
      <c r="L142" s="112"/>
      <c r="M142" s="53">
        <f t="shared" si="58"/>
        <v>0</v>
      </c>
      <c r="N142" s="112"/>
      <c r="O142" s="53">
        <f t="shared" si="59"/>
        <v>0</v>
      </c>
      <c r="P142" s="53">
        <f t="shared" si="60"/>
        <v>0</v>
      </c>
    </row>
    <row r="143" spans="2:16">
      <c r="B143" t="str">
        <f t="shared" si="33"/>
        <v/>
      </c>
      <c r="C143" s="49">
        <f>IF(D94="","-",+C142+1)</f>
        <v>2060</v>
      </c>
      <c r="D143" s="11">
        <f>IF(F142+SUM(E$100:E142)=D$93,F142,D$93-SUM(E$100:E142))</f>
        <v>0</v>
      </c>
      <c r="E143" s="377">
        <f t="shared" si="61"/>
        <v>0</v>
      </c>
      <c r="F143" s="54">
        <f t="shared" si="55"/>
        <v>0</v>
      </c>
      <c r="G143" s="54">
        <f t="shared" si="56"/>
        <v>0</v>
      </c>
      <c r="H143" s="459">
        <f t="shared" si="53"/>
        <v>0</v>
      </c>
      <c r="I143" s="446">
        <f t="shared" si="54"/>
        <v>0</v>
      </c>
      <c r="J143" s="53">
        <f t="shared" si="57"/>
        <v>0</v>
      </c>
      <c r="K143" s="53"/>
      <c r="L143" s="112"/>
      <c r="M143" s="53">
        <f t="shared" si="58"/>
        <v>0</v>
      </c>
      <c r="N143" s="112"/>
      <c r="O143" s="53">
        <f t="shared" si="59"/>
        <v>0</v>
      </c>
      <c r="P143" s="53">
        <f t="shared" si="60"/>
        <v>0</v>
      </c>
    </row>
    <row r="144" spans="2:16">
      <c r="B144" t="str">
        <f t="shared" si="33"/>
        <v/>
      </c>
      <c r="C144" s="49">
        <f>IF(D94="","-",+C143+1)</f>
        <v>2061</v>
      </c>
      <c r="D144" s="11">
        <f>IF(F143+SUM(E$100:E143)=D$93,F143,D$93-SUM(E$100:E143))</f>
        <v>0</v>
      </c>
      <c r="E144" s="377">
        <f t="shared" si="61"/>
        <v>0</v>
      </c>
      <c r="F144" s="54">
        <f t="shared" si="55"/>
        <v>0</v>
      </c>
      <c r="G144" s="54">
        <f t="shared" si="56"/>
        <v>0</v>
      </c>
      <c r="H144" s="459">
        <f t="shared" si="53"/>
        <v>0</v>
      </c>
      <c r="I144" s="446">
        <f t="shared" si="54"/>
        <v>0</v>
      </c>
      <c r="J144" s="53">
        <f t="shared" si="57"/>
        <v>0</v>
      </c>
      <c r="K144" s="53"/>
      <c r="L144" s="112"/>
      <c r="M144" s="53">
        <f t="shared" si="58"/>
        <v>0</v>
      </c>
      <c r="N144" s="112"/>
      <c r="O144" s="53">
        <f t="shared" si="59"/>
        <v>0</v>
      </c>
      <c r="P144" s="53">
        <f t="shared" si="60"/>
        <v>0</v>
      </c>
    </row>
    <row r="145" spans="2:16">
      <c r="B145" t="str">
        <f t="shared" si="33"/>
        <v/>
      </c>
      <c r="C145" s="49">
        <f>IF(D94="","-",+C144+1)</f>
        <v>2062</v>
      </c>
      <c r="D145" s="11">
        <f>IF(F144+SUM(E$100:E144)=D$93,F144,D$93-SUM(E$100:E144))</f>
        <v>0</v>
      </c>
      <c r="E145" s="377">
        <f t="shared" si="61"/>
        <v>0</v>
      </c>
      <c r="F145" s="54">
        <f t="shared" si="55"/>
        <v>0</v>
      </c>
      <c r="G145" s="54">
        <f t="shared" si="56"/>
        <v>0</v>
      </c>
      <c r="H145" s="459">
        <f t="shared" si="53"/>
        <v>0</v>
      </c>
      <c r="I145" s="446">
        <f t="shared" si="54"/>
        <v>0</v>
      </c>
      <c r="J145" s="53">
        <f t="shared" si="57"/>
        <v>0</v>
      </c>
      <c r="K145" s="53"/>
      <c r="L145" s="112"/>
      <c r="M145" s="53">
        <f t="shared" si="58"/>
        <v>0</v>
      </c>
      <c r="N145" s="112"/>
      <c r="O145" s="53">
        <f t="shared" si="59"/>
        <v>0</v>
      </c>
      <c r="P145" s="53">
        <f t="shared" si="60"/>
        <v>0</v>
      </c>
    </row>
    <row r="146" spans="2:16">
      <c r="B146" t="str">
        <f t="shared" si="33"/>
        <v/>
      </c>
      <c r="C146" s="49">
        <f>IF(D94="","-",+C145+1)</f>
        <v>2063</v>
      </c>
      <c r="D146" s="11">
        <f>IF(F145+SUM(E$100:E145)=D$93,F145,D$93-SUM(E$100:E145))</f>
        <v>0</v>
      </c>
      <c r="E146" s="377">
        <f t="shared" si="61"/>
        <v>0</v>
      </c>
      <c r="F146" s="54">
        <f t="shared" si="55"/>
        <v>0</v>
      </c>
      <c r="G146" s="54">
        <f t="shared" si="56"/>
        <v>0</v>
      </c>
      <c r="H146" s="459">
        <f t="shared" si="53"/>
        <v>0</v>
      </c>
      <c r="I146" s="446">
        <f t="shared" si="54"/>
        <v>0</v>
      </c>
      <c r="J146" s="53">
        <f t="shared" si="57"/>
        <v>0</v>
      </c>
      <c r="K146" s="53"/>
      <c r="L146" s="112"/>
      <c r="M146" s="53">
        <f t="shared" si="58"/>
        <v>0</v>
      </c>
      <c r="N146" s="112"/>
      <c r="O146" s="53">
        <f t="shared" si="59"/>
        <v>0</v>
      </c>
      <c r="P146" s="53">
        <f t="shared" si="60"/>
        <v>0</v>
      </c>
    </row>
    <row r="147" spans="2:16">
      <c r="B147" t="str">
        <f t="shared" si="33"/>
        <v/>
      </c>
      <c r="C147" s="49">
        <f>IF(D94="","-",+C146+1)</f>
        <v>2064</v>
      </c>
      <c r="D147" s="11">
        <f>IF(F146+SUM(E$100:E146)=D$93,F146,D$93-SUM(E$100:E146))</f>
        <v>0</v>
      </c>
      <c r="E147" s="377">
        <f t="shared" si="61"/>
        <v>0</v>
      </c>
      <c r="F147" s="54">
        <f t="shared" si="55"/>
        <v>0</v>
      </c>
      <c r="G147" s="54">
        <f t="shared" si="56"/>
        <v>0</v>
      </c>
      <c r="H147" s="459">
        <f t="shared" si="53"/>
        <v>0</v>
      </c>
      <c r="I147" s="446">
        <f t="shared" si="54"/>
        <v>0</v>
      </c>
      <c r="J147" s="53">
        <f t="shared" si="57"/>
        <v>0</v>
      </c>
      <c r="K147" s="53"/>
      <c r="L147" s="112"/>
      <c r="M147" s="53">
        <f t="shared" si="58"/>
        <v>0</v>
      </c>
      <c r="N147" s="112"/>
      <c r="O147" s="53">
        <f t="shared" si="59"/>
        <v>0</v>
      </c>
      <c r="P147" s="53">
        <f t="shared" si="60"/>
        <v>0</v>
      </c>
    </row>
    <row r="148" spans="2:16">
      <c r="B148" t="str">
        <f t="shared" si="33"/>
        <v/>
      </c>
      <c r="C148" s="49">
        <f>IF(D94="","-",+C147+1)</f>
        <v>2065</v>
      </c>
      <c r="D148" s="11">
        <f>IF(F147+SUM(E$100:E147)=D$93,F147,D$93-SUM(E$100:E147))</f>
        <v>0</v>
      </c>
      <c r="E148" s="377">
        <f t="shared" si="61"/>
        <v>0</v>
      </c>
      <c r="F148" s="54">
        <f t="shared" si="55"/>
        <v>0</v>
      </c>
      <c r="G148" s="54">
        <f t="shared" si="56"/>
        <v>0</v>
      </c>
      <c r="H148" s="459">
        <f t="shared" si="53"/>
        <v>0</v>
      </c>
      <c r="I148" s="446">
        <f t="shared" si="54"/>
        <v>0</v>
      </c>
      <c r="J148" s="53">
        <f t="shared" si="57"/>
        <v>0</v>
      </c>
      <c r="K148" s="53"/>
      <c r="L148" s="112"/>
      <c r="M148" s="53">
        <f t="shared" si="58"/>
        <v>0</v>
      </c>
      <c r="N148" s="112"/>
      <c r="O148" s="53">
        <f t="shared" si="59"/>
        <v>0</v>
      </c>
      <c r="P148" s="53">
        <f t="shared" si="60"/>
        <v>0</v>
      </c>
    </row>
    <row r="149" spans="2:16">
      <c r="B149" t="str">
        <f t="shared" si="33"/>
        <v/>
      </c>
      <c r="C149" s="49">
        <f>IF(D94="","-",+C148+1)</f>
        <v>2066</v>
      </c>
      <c r="D149" s="11">
        <f>IF(F148+SUM(E$100:E148)=D$93,F148,D$93-SUM(E$100:E148))</f>
        <v>0</v>
      </c>
      <c r="E149" s="377">
        <f t="shared" si="61"/>
        <v>0</v>
      </c>
      <c r="F149" s="54">
        <f t="shared" si="55"/>
        <v>0</v>
      </c>
      <c r="G149" s="54">
        <f t="shared" si="56"/>
        <v>0</v>
      </c>
      <c r="H149" s="459">
        <f t="shared" si="53"/>
        <v>0</v>
      </c>
      <c r="I149" s="446">
        <f t="shared" si="54"/>
        <v>0</v>
      </c>
      <c r="J149" s="53">
        <f t="shared" si="57"/>
        <v>0</v>
      </c>
      <c r="K149" s="53"/>
      <c r="L149" s="112"/>
      <c r="M149" s="53">
        <f t="shared" si="58"/>
        <v>0</v>
      </c>
      <c r="N149" s="112"/>
      <c r="O149" s="53">
        <f t="shared" si="59"/>
        <v>0</v>
      </c>
      <c r="P149" s="53">
        <f t="shared" si="60"/>
        <v>0</v>
      </c>
    </row>
    <row r="150" spans="2:16">
      <c r="B150" t="str">
        <f t="shared" si="33"/>
        <v/>
      </c>
      <c r="C150" s="49">
        <f>IF(D94="","-",+C149+1)</f>
        <v>2067</v>
      </c>
      <c r="D150" s="11">
        <f>IF(F149+SUM(E$100:E149)=D$93,F149,D$93-SUM(E$100:E149))</f>
        <v>0</v>
      </c>
      <c r="E150" s="377">
        <f t="shared" si="61"/>
        <v>0</v>
      </c>
      <c r="F150" s="54">
        <f t="shared" si="55"/>
        <v>0</v>
      </c>
      <c r="G150" s="54">
        <f t="shared" si="56"/>
        <v>0</v>
      </c>
      <c r="H150" s="459">
        <f t="shared" si="53"/>
        <v>0</v>
      </c>
      <c r="I150" s="446">
        <f t="shared" si="54"/>
        <v>0</v>
      </c>
      <c r="J150" s="53">
        <f t="shared" si="57"/>
        <v>0</v>
      </c>
      <c r="K150" s="53"/>
      <c r="L150" s="112"/>
      <c r="M150" s="53">
        <f t="shared" si="58"/>
        <v>0</v>
      </c>
      <c r="N150" s="112"/>
      <c r="O150" s="53">
        <f t="shared" si="59"/>
        <v>0</v>
      </c>
      <c r="P150" s="53">
        <f t="shared" si="60"/>
        <v>0</v>
      </c>
    </row>
    <row r="151" spans="2:16">
      <c r="B151" t="str">
        <f t="shared" si="33"/>
        <v/>
      </c>
      <c r="C151" s="49">
        <f>IF(D94="","-",+C150+1)</f>
        <v>2068</v>
      </c>
      <c r="D151" s="11">
        <f>IF(F150+SUM(E$100:E150)=D$93,F150,D$93-SUM(E$100:E150))</f>
        <v>0</v>
      </c>
      <c r="E151" s="377">
        <f t="shared" si="61"/>
        <v>0</v>
      </c>
      <c r="F151" s="54">
        <f t="shared" si="55"/>
        <v>0</v>
      </c>
      <c r="G151" s="54">
        <f t="shared" si="56"/>
        <v>0</v>
      </c>
      <c r="H151" s="459">
        <f t="shared" si="53"/>
        <v>0</v>
      </c>
      <c r="I151" s="446">
        <f t="shared" si="54"/>
        <v>0</v>
      </c>
      <c r="J151" s="53">
        <f t="shared" si="57"/>
        <v>0</v>
      </c>
      <c r="K151" s="53"/>
      <c r="L151" s="112"/>
      <c r="M151" s="53">
        <f t="shared" si="58"/>
        <v>0</v>
      </c>
      <c r="N151" s="112"/>
      <c r="O151" s="53">
        <f t="shared" si="59"/>
        <v>0</v>
      </c>
      <c r="P151" s="53">
        <f t="shared" si="60"/>
        <v>0</v>
      </c>
    </row>
    <row r="152" spans="2:16">
      <c r="B152" t="str">
        <f t="shared" si="33"/>
        <v/>
      </c>
      <c r="C152" s="49">
        <f>IF(D94="","-",+C151+1)</f>
        <v>2069</v>
      </c>
      <c r="D152" s="11">
        <f>IF(F151+SUM(E$100:E151)=D$93,F151,D$93-SUM(E$100:E151))</f>
        <v>0</v>
      </c>
      <c r="E152" s="377">
        <f t="shared" si="61"/>
        <v>0</v>
      </c>
      <c r="F152" s="54">
        <f t="shared" si="55"/>
        <v>0</v>
      </c>
      <c r="G152" s="54">
        <f t="shared" si="56"/>
        <v>0</v>
      </c>
      <c r="H152" s="459">
        <f t="shared" si="53"/>
        <v>0</v>
      </c>
      <c r="I152" s="446">
        <f t="shared" si="54"/>
        <v>0</v>
      </c>
      <c r="J152" s="53">
        <f t="shared" si="57"/>
        <v>0</v>
      </c>
      <c r="K152" s="53"/>
      <c r="L152" s="112"/>
      <c r="M152" s="53">
        <f t="shared" si="58"/>
        <v>0</v>
      </c>
      <c r="N152" s="112"/>
      <c r="O152" s="53">
        <f t="shared" si="59"/>
        <v>0</v>
      </c>
      <c r="P152" s="53">
        <f t="shared" si="60"/>
        <v>0</v>
      </c>
    </row>
    <row r="153" spans="2:16">
      <c r="B153" t="str">
        <f t="shared" si="33"/>
        <v/>
      </c>
      <c r="C153" s="49">
        <f>IF(D94="","-",+C152+1)</f>
        <v>2070</v>
      </c>
      <c r="D153" s="11">
        <f>IF(F152+SUM(E$100:E152)=D$93,F152,D$93-SUM(E$100:E152))</f>
        <v>0</v>
      </c>
      <c r="E153" s="377">
        <f t="shared" si="61"/>
        <v>0</v>
      </c>
      <c r="F153" s="54">
        <f t="shared" si="55"/>
        <v>0</v>
      </c>
      <c r="G153" s="54">
        <f t="shared" si="56"/>
        <v>0</v>
      </c>
      <c r="H153" s="459">
        <f t="shared" si="53"/>
        <v>0</v>
      </c>
      <c r="I153" s="446">
        <f t="shared" si="54"/>
        <v>0</v>
      </c>
      <c r="J153" s="53">
        <f t="shared" si="57"/>
        <v>0</v>
      </c>
      <c r="K153" s="53"/>
      <c r="L153" s="112"/>
      <c r="M153" s="53">
        <f t="shared" si="58"/>
        <v>0</v>
      </c>
      <c r="N153" s="112"/>
      <c r="O153" s="53">
        <f t="shared" si="59"/>
        <v>0</v>
      </c>
      <c r="P153" s="53">
        <f t="shared" si="60"/>
        <v>0</v>
      </c>
    </row>
    <row r="154" spans="2:16">
      <c r="B154" t="str">
        <f t="shared" si="33"/>
        <v/>
      </c>
      <c r="C154" s="49">
        <f>IF(D94="","-",+C153+1)</f>
        <v>2071</v>
      </c>
      <c r="D154" s="11">
        <f>IF(F153+SUM(E$100:E153)=D$93,F153,D$93-SUM(E$100:E153))</f>
        <v>0</v>
      </c>
      <c r="E154" s="377">
        <f t="shared" si="61"/>
        <v>0</v>
      </c>
      <c r="F154" s="54">
        <f t="shared" si="55"/>
        <v>0</v>
      </c>
      <c r="G154" s="54">
        <f t="shared" si="56"/>
        <v>0</v>
      </c>
      <c r="H154" s="459">
        <f t="shared" si="53"/>
        <v>0</v>
      </c>
      <c r="I154" s="446">
        <f t="shared" si="54"/>
        <v>0</v>
      </c>
      <c r="J154" s="53">
        <f t="shared" si="57"/>
        <v>0</v>
      </c>
      <c r="K154" s="53"/>
      <c r="L154" s="112"/>
      <c r="M154" s="53">
        <f t="shared" si="58"/>
        <v>0</v>
      </c>
      <c r="N154" s="112"/>
      <c r="O154" s="53">
        <f t="shared" si="59"/>
        <v>0</v>
      </c>
      <c r="P154" s="53">
        <f t="shared" si="60"/>
        <v>0</v>
      </c>
    </row>
    <row r="155" spans="2:16" ht="13.5" thickBot="1">
      <c r="B155" t="str">
        <f t="shared" si="33"/>
        <v/>
      </c>
      <c r="C155" s="58">
        <f>IF(D94="","-",+C154+1)</f>
        <v>2072</v>
      </c>
      <c r="D155" s="82">
        <f>IF(F154+SUM(E$100:E154)=D$93,F154,D$93-SUM(E$100:E154))</f>
        <v>0</v>
      </c>
      <c r="E155" s="389">
        <f t="shared" si="61"/>
        <v>0</v>
      </c>
      <c r="F155" s="59">
        <f t="shared" si="55"/>
        <v>0</v>
      </c>
      <c r="G155" s="59">
        <f t="shared" si="56"/>
        <v>0</v>
      </c>
      <c r="H155" s="459">
        <f t="shared" si="53"/>
        <v>0</v>
      </c>
      <c r="I155" s="443">
        <f t="shared" si="54"/>
        <v>0</v>
      </c>
      <c r="J155" s="63">
        <f t="shared" si="57"/>
        <v>0</v>
      </c>
      <c r="K155" s="53"/>
      <c r="L155" s="113"/>
      <c r="M155" s="63">
        <f t="shared" si="58"/>
        <v>0</v>
      </c>
      <c r="N155" s="113"/>
      <c r="O155" s="63">
        <f t="shared" si="59"/>
        <v>0</v>
      </c>
      <c r="P155" s="63">
        <f t="shared" si="60"/>
        <v>0</v>
      </c>
    </row>
    <row r="156" spans="2:16">
      <c r="C156" s="11" t="s">
        <v>75</v>
      </c>
      <c r="D156" s="242"/>
      <c r="E156" s="242">
        <f>SUM(E100:E155)</f>
        <v>9653726.4200000037</v>
      </c>
      <c r="F156" s="242"/>
      <c r="G156" s="242"/>
      <c r="H156" s="242">
        <f>SUM(H100:H155)</f>
        <v>25143556.589552294</v>
      </c>
      <c r="I156" s="242">
        <f>SUM(I100:I155)</f>
        <v>25143556.589552294</v>
      </c>
      <c r="J156" s="242">
        <f>SUM(J100:J155)</f>
        <v>0</v>
      </c>
      <c r="K156" s="242"/>
      <c r="L156" s="242"/>
      <c r="M156" s="242"/>
      <c r="N156" s="242"/>
      <c r="O156" s="242"/>
      <c r="P156" s="1"/>
    </row>
    <row r="157" spans="2:16">
      <c r="C157" t="s">
        <v>90</v>
      </c>
      <c r="D157" s="2"/>
      <c r="E157" s="1"/>
      <c r="F157" s="1"/>
      <c r="G157" s="1"/>
      <c r="H157" s="1"/>
      <c r="I157" s="260"/>
      <c r="J157" s="260"/>
      <c r="K157" s="242"/>
      <c r="L157" s="260"/>
      <c r="M157" s="260"/>
      <c r="N157" s="260"/>
      <c r="O157" s="260"/>
      <c r="P157" s="1"/>
    </row>
    <row r="158" spans="2:16">
      <c r="C158" s="83"/>
      <c r="D158" s="2"/>
      <c r="E158" s="1"/>
      <c r="F158" s="1"/>
      <c r="G158" s="1"/>
      <c r="H158" s="1"/>
      <c r="I158" s="260"/>
      <c r="J158" s="260"/>
      <c r="K158" s="242"/>
      <c r="L158" s="260"/>
      <c r="M158" s="260"/>
      <c r="N158" s="260"/>
      <c r="O158" s="260"/>
      <c r="P158" s="1"/>
    </row>
    <row r="159" spans="2:16">
      <c r="C159" s="97" t="s">
        <v>130</v>
      </c>
      <c r="D159" s="2"/>
      <c r="E159" s="1"/>
      <c r="F159" s="1"/>
      <c r="G159" s="1"/>
      <c r="H159" s="1"/>
      <c r="I159" s="260"/>
      <c r="J159" s="260"/>
      <c r="K159" s="242"/>
      <c r="L159" s="260"/>
      <c r="M159" s="260"/>
      <c r="N159" s="260"/>
      <c r="O159" s="260"/>
      <c r="P159" s="1"/>
    </row>
    <row r="160" spans="2:16">
      <c r="C160" s="25" t="s">
        <v>76</v>
      </c>
      <c r="D160" s="11"/>
      <c r="E160" s="11"/>
      <c r="F160" s="11"/>
      <c r="G160" s="11"/>
      <c r="H160" s="242"/>
      <c r="I160" s="242"/>
      <c r="J160" s="64"/>
      <c r="K160" s="64"/>
      <c r="L160" s="64"/>
      <c r="M160" s="64"/>
      <c r="N160" s="64"/>
      <c r="O160" s="64"/>
      <c r="P160" s="1"/>
    </row>
    <row r="161" spans="3:16">
      <c r="C161" s="84" t="s">
        <v>77</v>
      </c>
      <c r="D161" s="11"/>
      <c r="E161" s="11"/>
      <c r="F161" s="11"/>
      <c r="G161" s="11"/>
      <c r="H161" s="242"/>
      <c r="I161" s="242"/>
      <c r="J161" s="64"/>
      <c r="K161" s="64"/>
      <c r="L161" s="64"/>
      <c r="M161" s="64"/>
      <c r="N161" s="64"/>
      <c r="O161" s="64"/>
      <c r="P161" s="1"/>
    </row>
    <row r="162" spans="3:16">
      <c r="C162" s="84"/>
      <c r="D162" s="11"/>
      <c r="E162" s="11"/>
      <c r="F162" s="11"/>
      <c r="G162" s="11"/>
      <c r="H162" s="242"/>
      <c r="I162" s="242"/>
      <c r="J162" s="64"/>
      <c r="K162" s="64"/>
      <c r="L162" s="64"/>
      <c r="M162" s="64"/>
      <c r="N162" s="64"/>
      <c r="O162" s="64"/>
      <c r="P162" s="1"/>
    </row>
    <row r="163" spans="3:16" ht="18">
      <c r="C163" s="84"/>
      <c r="D163" s="11"/>
      <c r="E163" s="11"/>
      <c r="F163" s="11"/>
      <c r="G163" s="11"/>
      <c r="H163" s="242"/>
      <c r="I163" s="242"/>
      <c r="J163" s="64"/>
      <c r="K163" s="64"/>
      <c r="L163" s="64"/>
      <c r="M163" s="64"/>
      <c r="N163" s="64"/>
      <c r="P163" s="95" t="s">
        <v>129</v>
      </c>
    </row>
  </sheetData>
  <conditionalFormatting sqref="C17:C73">
    <cfRule type="cellIs" dxfId="23" priority="1" stopIfTrue="1" operator="equal">
      <formula>$I$10</formula>
    </cfRule>
  </conditionalFormatting>
  <conditionalFormatting sqref="C100:C155">
    <cfRule type="cellIs" dxfId="22"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8"/>
  <dimension ref="A1:U133"/>
  <sheetViews>
    <sheetView topLeftCell="A27" zoomScale="80" zoomScaleNormal="80" zoomScaleSheetLayoutView="90" workbookViewId="0">
      <selection activeCell="E35" sqref="E35"/>
    </sheetView>
  </sheetViews>
  <sheetFormatPr defaultColWidth="8.7109375" defaultRowHeight="12.75" customHeight="1"/>
  <cols>
    <col min="1" max="1" width="8.140625" customWidth="1"/>
    <col min="2" max="2" width="6.7109375" customWidth="1"/>
    <col min="3" max="3" width="23.28515625" customWidth="1"/>
    <col min="4" max="8" width="17.7109375" customWidth="1"/>
    <col min="9" max="9" width="16.140625" customWidth="1"/>
    <col min="10" max="10" width="2.140625" customWidth="1"/>
    <col min="11" max="11" width="17.7109375" customWidth="1"/>
    <col min="12" max="12" width="16.140625" customWidth="1"/>
    <col min="13" max="13" width="17.7109375" customWidth="1"/>
    <col min="14" max="14" width="16.7109375" customWidth="1"/>
    <col min="15" max="15" width="22.42578125" customWidth="1"/>
    <col min="16" max="16" width="3.5703125" bestFit="1" customWidth="1"/>
    <col min="17" max="17" width="4.7109375" customWidth="1"/>
    <col min="18" max="18" width="15.42578125" customWidth="1"/>
    <col min="19" max="19" width="81.85546875" bestFit="1" customWidth="1"/>
    <col min="23" max="23" width="9.140625" customWidth="1"/>
  </cols>
  <sheetData>
    <row r="1" spans="1:21" ht="18">
      <c r="A1" s="549" t="s">
        <v>109</v>
      </c>
      <c r="B1" s="550"/>
      <c r="C1" s="550"/>
      <c r="D1" s="550"/>
      <c r="E1" s="550"/>
      <c r="F1" s="550"/>
      <c r="G1" s="550"/>
      <c r="H1" s="550"/>
      <c r="I1" s="550"/>
      <c r="J1" s="550"/>
      <c r="U1">
        <v>2017</v>
      </c>
    </row>
    <row r="2" spans="1:21" ht="18">
      <c r="A2" s="552" t="str">
        <f>L19&amp;" Cost of Service Formula Rate Projected on "&amp;L19&amp;" FF1 Balances"</f>
        <v>2025 Cost of Service Formula Rate Projected on 2025 FF1 Balances</v>
      </c>
      <c r="B2" s="552"/>
      <c r="C2" s="552"/>
      <c r="D2" s="552"/>
      <c r="E2" s="552"/>
      <c r="F2" s="552"/>
      <c r="G2" s="552"/>
      <c r="H2" s="552"/>
      <c r="I2" s="552"/>
      <c r="J2" s="552"/>
    </row>
    <row r="3" spans="1:21" ht="18">
      <c r="A3" s="551" t="s">
        <v>124</v>
      </c>
      <c r="B3" s="552"/>
      <c r="C3" s="552"/>
      <c r="D3" s="552"/>
      <c r="E3" s="552"/>
      <c r="F3" s="552"/>
      <c r="G3" s="552"/>
      <c r="H3" s="552"/>
      <c r="I3" s="552"/>
      <c r="J3" s="552"/>
      <c r="Q3" s="90" t="s">
        <v>110</v>
      </c>
    </row>
    <row r="4" spans="1:21" ht="18">
      <c r="A4" s="552" t="str">
        <f>"Based on a Carrying Charge Derived from ""Historic"" "&amp;L19&amp;" Data"</f>
        <v>Based on a Carrying Charge Derived from "Historic" 2025 Data</v>
      </c>
      <c r="B4" s="552"/>
      <c r="C4" s="552"/>
      <c r="D4" s="552"/>
      <c r="E4" s="552"/>
      <c r="F4" s="552"/>
      <c r="G4" s="552"/>
      <c r="H4" s="552"/>
      <c r="I4" s="552"/>
      <c r="J4" s="552"/>
      <c r="K4" s="552"/>
    </row>
    <row r="5" spans="1:21" ht="18">
      <c r="A5" s="553" t="s">
        <v>188</v>
      </c>
      <c r="B5" s="553"/>
      <c r="C5" s="553"/>
      <c r="D5" s="553"/>
      <c r="E5" s="553"/>
      <c r="F5" s="553"/>
      <c r="G5" s="553"/>
      <c r="H5" s="553"/>
      <c r="I5" s="553"/>
      <c r="J5" s="553"/>
    </row>
    <row r="6" spans="1:21" ht="18">
      <c r="A6" s="131"/>
      <c r="B6" s="131"/>
      <c r="C6" s="131"/>
      <c r="D6" s="131"/>
      <c r="E6" s="131"/>
      <c r="F6" s="131"/>
      <c r="G6" s="131"/>
      <c r="H6" s="131"/>
      <c r="I6" s="131"/>
      <c r="J6" s="131"/>
    </row>
    <row r="7" spans="1:21">
      <c r="D7" s="136"/>
      <c r="H7" s="183"/>
    </row>
    <row r="8" spans="1:21" ht="33.75" customHeight="1">
      <c r="B8" s="4" t="s">
        <v>0</v>
      </c>
      <c r="C8" s="547" t="str">
        <f>"Calculate Return and Income Taxes with "&amp;F13&amp;" basis point ROE increase for Projects Qualified for Incentive."</f>
        <v>Calculate Return and Income Taxes with 0 basis point ROE increase for Projects Qualified for Incentive.</v>
      </c>
      <c r="D8" s="548"/>
      <c r="E8" s="548"/>
      <c r="F8" s="548"/>
      <c r="G8" s="548"/>
      <c r="H8" s="548"/>
      <c r="R8" s="200"/>
    </row>
    <row r="9" spans="1:21">
      <c r="D9" s="136"/>
      <c r="H9" s="183"/>
    </row>
    <row r="10" spans="1:21" ht="15.75">
      <c r="C10" s="6" t="str">
        <f>"A.   Determine 'R' with hypothetical "&amp;F13&amp;" basis point increase in ROE for Identified Projects"</f>
        <v>A.   Determine 'R' with hypothetical 0 basis point increase in ROE for Identified Projects</v>
      </c>
      <c r="D10" s="136"/>
      <c r="H10" s="183"/>
    </row>
    <row r="11" spans="1:21">
      <c r="D11" s="136"/>
      <c r="H11" s="183"/>
    </row>
    <row r="12" spans="1:21">
      <c r="C12" s="201" t="str">
        <f>S101</f>
        <v xml:space="preserve">   ROE w/o incentives  (TCOS, ln 143)</v>
      </c>
      <c r="D12" s="136"/>
      <c r="E12" s="202"/>
      <c r="F12" s="203">
        <f>+R101</f>
        <v>0.105</v>
      </c>
      <c r="G12" s="204"/>
      <c r="H12" s="205"/>
      <c r="I12" s="206"/>
      <c r="J12" s="206"/>
      <c r="K12" s="206"/>
      <c r="L12" s="206"/>
      <c r="M12" s="206"/>
      <c r="N12" s="206"/>
      <c r="O12" s="202"/>
      <c r="P12" s="206"/>
      <c r="Q12" s="1"/>
      <c r="U12" s="1"/>
    </row>
    <row r="13" spans="1:21">
      <c r="C13" s="201" t="s">
        <v>1</v>
      </c>
      <c r="D13" s="136"/>
      <c r="E13" s="202"/>
      <c r="F13" s="207">
        <f>+R102</f>
        <v>0</v>
      </c>
      <c r="G13" t="s">
        <v>133</v>
      </c>
      <c r="K13" s="206"/>
      <c r="L13" s="206"/>
      <c r="M13" s="206"/>
      <c r="N13" s="206"/>
      <c r="O13" s="202"/>
      <c r="P13" s="206"/>
      <c r="Q13" s="1"/>
      <c r="U13" s="1"/>
    </row>
    <row r="14" spans="1:21" ht="13.5" thickBot="1">
      <c r="C14" s="201" t="str">
        <f>"   ROE with additional "&amp;F13&amp;" basis point incentive"</f>
        <v xml:space="preserve">   ROE with additional 0 basis point incentive</v>
      </c>
      <c r="D14" s="202"/>
      <c r="E14" s="202"/>
      <c r="F14" s="208">
        <f>IF((F12+(F13/10000)&gt;0.1245),"ERROR",F12+(F13/10000))</f>
        <v>0.105</v>
      </c>
      <c r="G14" s="209" t="s">
        <v>2</v>
      </c>
      <c r="H14" s="206"/>
      <c r="I14" s="206"/>
      <c r="J14" s="206"/>
      <c r="K14" s="206"/>
      <c r="L14" s="206"/>
      <c r="M14" s="206"/>
      <c r="N14" s="206"/>
      <c r="O14" s="202"/>
      <c r="P14" s="206"/>
      <c r="Q14" s="1"/>
      <c r="U14" s="1"/>
    </row>
    <row r="15" spans="1:21">
      <c r="C15" s="201" t="s">
        <v>3</v>
      </c>
      <c r="D15" s="136"/>
      <c r="E15" s="202"/>
      <c r="F15" s="208"/>
      <c r="G15" s="202"/>
      <c r="H15" s="206"/>
      <c r="I15" s="206"/>
      <c r="J15" s="206"/>
      <c r="K15" s="541" t="s">
        <v>4</v>
      </c>
      <c r="L15" s="542"/>
      <c r="M15" s="542"/>
      <c r="N15" s="542"/>
      <c r="O15" s="543"/>
      <c r="P15" s="206"/>
      <c r="Q15" s="1"/>
      <c r="U15" s="1"/>
    </row>
    <row r="16" spans="1:21">
      <c r="C16" s="206"/>
      <c r="D16" s="210" t="s">
        <v>5</v>
      </c>
      <c r="E16" s="210" t="s">
        <v>6</v>
      </c>
      <c r="F16" s="211" t="s">
        <v>7</v>
      </c>
      <c r="G16" s="202"/>
      <c r="H16" s="206"/>
      <c r="I16" s="206"/>
      <c r="J16" s="206"/>
      <c r="K16" s="544"/>
      <c r="L16" s="545"/>
      <c r="M16" s="545"/>
      <c r="N16" s="545"/>
      <c r="O16" s="546"/>
      <c r="P16" s="206"/>
      <c r="Q16" s="1"/>
    </row>
    <row r="17" spans="3:21">
      <c r="C17" s="212" t="s">
        <v>8</v>
      </c>
      <c r="D17" s="213">
        <f>+R103</f>
        <v>0.44517452205303232</v>
      </c>
      <c r="E17" s="214">
        <f>+R104</f>
        <v>4.4990703828130627E-2</v>
      </c>
      <c r="F17" s="215">
        <f>E17*D17</f>
        <v>2.0028715073517583E-2</v>
      </c>
      <c r="G17" s="202"/>
      <c r="H17" s="206"/>
      <c r="I17" s="216"/>
      <c r="J17" s="216"/>
      <c r="K17" s="217"/>
      <c r="L17" s="218"/>
      <c r="M17" s="206" t="s">
        <v>9</v>
      </c>
      <c r="N17" s="206" t="s">
        <v>10</v>
      </c>
      <c r="O17" s="219" t="s">
        <v>11</v>
      </c>
      <c r="P17" s="206"/>
      <c r="Q17" s="1"/>
      <c r="U17" s="206"/>
    </row>
    <row r="18" spans="3:21">
      <c r="C18" s="212" t="s">
        <v>12</v>
      </c>
      <c r="D18" s="213">
        <f>+R105</f>
        <v>0</v>
      </c>
      <c r="E18" s="214">
        <f>+R106</f>
        <v>0</v>
      </c>
      <c r="F18" s="215">
        <f>E18*D18</f>
        <v>0</v>
      </c>
      <c r="G18" s="220"/>
      <c r="H18" s="220"/>
      <c r="I18" s="221"/>
      <c r="J18" s="221"/>
      <c r="K18" s="222"/>
      <c r="O18" s="223"/>
      <c r="P18" s="220"/>
      <c r="Q18" s="1"/>
      <c r="U18" s="1"/>
    </row>
    <row r="19" spans="3:21" ht="13.5" thickBot="1">
      <c r="C19" s="212" t="s">
        <v>13</v>
      </c>
      <c r="D19" s="213">
        <f>+R107</f>
        <v>0.55482547794696757</v>
      </c>
      <c r="E19" s="214">
        <f>+F14</f>
        <v>0.105</v>
      </c>
      <c r="F19" s="224">
        <f>E19*D19</f>
        <v>5.8256675184431596E-2</v>
      </c>
      <c r="G19" s="220"/>
      <c r="H19" s="220"/>
      <c r="I19" s="208"/>
      <c r="J19" s="221"/>
      <c r="K19" s="225" t="s">
        <v>14</v>
      </c>
      <c r="L19" s="226">
        <v>2025</v>
      </c>
      <c r="M19" s="227">
        <f>SUM('OKT.001:OKT.xyz - blank'!N5)</f>
        <v>40965038.490873612</v>
      </c>
      <c r="N19" s="227">
        <f>SUM('OKT.001:OKT.xyz - blank'!N6)</f>
        <v>40965038.490873612</v>
      </c>
      <c r="O19" s="228">
        <f>+N19-M19</f>
        <v>0</v>
      </c>
      <c r="P19" s="221"/>
      <c r="Q19" s="1"/>
      <c r="U19" s="1"/>
    </row>
    <row r="20" spans="3:21">
      <c r="C20" s="201"/>
      <c r="D20" s="202"/>
      <c r="E20" s="229" t="s">
        <v>15</v>
      </c>
      <c r="F20" s="215">
        <f>SUM(F17:F19)</f>
        <v>7.8285390257949172E-2</v>
      </c>
      <c r="G20" s="220"/>
      <c r="H20" s="220"/>
      <c r="I20" s="221"/>
      <c r="J20" s="221"/>
      <c r="M20" s="230" t="str">
        <f>IF(M19=SUM('OKT.001:OKT.xyz - blank'!N5),"","ERROR")</f>
        <v/>
      </c>
      <c r="N20" s="230" t="str">
        <f>IF(N19=SUM('OKT.001:OKT.xyz - blank'!N6),"","ERROR")</f>
        <v/>
      </c>
      <c r="O20" s="230" t="str">
        <f>IF(O19=SUM('OKT.001:OKT.xyz - blank'!N7),"","ERROR")</f>
        <v/>
      </c>
      <c r="P20" s="220"/>
      <c r="Q20" s="1"/>
      <c r="U20" s="1"/>
    </row>
    <row r="21" spans="3:21">
      <c r="D21" s="231"/>
      <c r="E21" s="231"/>
      <c r="F21" s="220"/>
      <c r="G21" s="220"/>
      <c r="H21" s="220"/>
      <c r="I21" s="220"/>
      <c r="J21" s="220"/>
      <c r="K21" s="25" t="s">
        <v>16</v>
      </c>
      <c r="P21" s="220"/>
      <c r="Q21" s="1"/>
      <c r="U21" s="1"/>
    </row>
    <row r="22" spans="3:21" ht="15.75">
      <c r="C22" s="6" t="str">
        <f>"B.   Determine Return using 'R' with hypothetical "&amp;F13&amp;" basis point ROE increase for Identified Projects."</f>
        <v>B.   Determine Return using 'R' with hypothetical 0 basis point ROE increase for Identified Projects.</v>
      </c>
      <c r="D22" s="231"/>
      <c r="E22" s="231"/>
      <c r="F22" s="220"/>
      <c r="G22" s="220"/>
      <c r="H22" s="202"/>
      <c r="I22" s="220"/>
      <c r="J22" s="220"/>
      <c r="K22" t="s">
        <v>17</v>
      </c>
      <c r="P22" s="220"/>
      <c r="Q22" s="1"/>
      <c r="U22" s="1"/>
    </row>
    <row r="23" spans="3:21">
      <c r="C23" s="206"/>
      <c r="D23" s="231"/>
      <c r="E23" s="231"/>
      <c r="F23" s="220"/>
      <c r="G23" s="220"/>
      <c r="H23" s="220"/>
      <c r="I23" s="220"/>
      <c r="J23" s="220"/>
      <c r="K23" s="221"/>
      <c r="L23" s="218"/>
      <c r="M23" s="232"/>
      <c r="N23" s="221"/>
      <c r="O23" s="220"/>
      <c r="P23" s="220"/>
      <c r="Q23" s="1"/>
      <c r="U23" s="1"/>
    </row>
    <row r="24" spans="3:21">
      <c r="C24" s="201" t="str">
        <f>+S108</f>
        <v xml:space="preserve">   Rate Base  (TCOS, ln 63)</v>
      </c>
      <c r="D24" s="202"/>
      <c r="E24" s="233">
        <f>+R108</f>
        <v>1428826212.050138</v>
      </c>
      <c r="F24" s="234"/>
      <c r="G24" s="220"/>
      <c r="H24" s="220"/>
      <c r="I24" s="220"/>
      <c r="J24" s="220"/>
      <c r="K24" s="220"/>
      <c r="L24" s="220"/>
      <c r="M24" s="220"/>
      <c r="N24" s="220"/>
      <c r="O24" s="220"/>
      <c r="P24" s="234"/>
      <c r="Q24" s="1"/>
      <c r="U24" s="1"/>
    </row>
    <row r="25" spans="3:21">
      <c r="C25" s="206" t="s">
        <v>18</v>
      </c>
      <c r="D25" s="204"/>
      <c r="E25" s="235">
        <f>F20</f>
        <v>7.8285390257949172E-2</v>
      </c>
      <c r="F25" s="220"/>
      <c r="G25" s="220"/>
      <c r="H25" s="220"/>
      <c r="I25" s="220"/>
      <c r="J25" s="220"/>
      <c r="K25" s="220"/>
      <c r="L25" s="220"/>
      <c r="M25" s="236"/>
      <c r="N25" s="220"/>
      <c r="O25" s="220"/>
      <c r="P25" s="220"/>
      <c r="Q25" s="1"/>
      <c r="U25" s="1"/>
    </row>
    <row r="26" spans="3:21">
      <c r="C26" s="237" t="s">
        <v>19</v>
      </c>
      <c r="D26" s="237"/>
      <c r="E26" s="221">
        <f>E24*E25</f>
        <v>111856217.62113228</v>
      </c>
      <c r="F26" s="220"/>
      <c r="G26" s="220"/>
      <c r="H26" s="220"/>
      <c r="I26" s="221"/>
      <c r="J26" s="221"/>
      <c r="K26" s="221"/>
      <c r="L26" s="221"/>
      <c r="M26" s="221"/>
      <c r="N26" s="221"/>
      <c r="O26" s="220"/>
      <c r="P26" s="220"/>
      <c r="Q26" s="1"/>
      <c r="U26" s="1"/>
    </row>
    <row r="27" spans="3:21">
      <c r="C27" s="237"/>
      <c r="D27" s="206"/>
      <c r="E27" s="206"/>
      <c r="F27" s="220"/>
      <c r="G27" s="220"/>
      <c r="H27" s="220"/>
      <c r="I27" s="221"/>
      <c r="J27" s="221"/>
      <c r="K27" s="221"/>
      <c r="L27" s="221"/>
      <c r="M27" s="221"/>
      <c r="N27" s="221"/>
      <c r="O27" s="220"/>
      <c r="P27" s="220"/>
      <c r="Q27" s="1"/>
      <c r="U27" s="1"/>
    </row>
    <row r="28" spans="3:21" ht="15.75">
      <c r="C28" s="6" t="str">
        <f>"C.   Determine Income Taxes using Return with hypothetical "&amp;F13&amp;" basis point ROE increase for Identified Projects."</f>
        <v>C.   Determine Income Taxes using Return with hypothetical 0 basis point ROE increase for Identified Projects.</v>
      </c>
      <c r="D28" s="238"/>
      <c r="E28" s="238"/>
      <c r="F28" s="239"/>
      <c r="G28" s="239"/>
      <c r="H28" s="239"/>
      <c r="I28" s="240"/>
      <c r="J28" s="240"/>
      <c r="K28" s="240"/>
      <c r="L28" s="240"/>
      <c r="M28" s="240"/>
      <c r="N28" s="240"/>
      <c r="O28" s="239"/>
      <c r="P28" s="239"/>
      <c r="Q28" s="1"/>
      <c r="U28" s="1"/>
    </row>
    <row r="29" spans="3:21">
      <c r="C29" s="201"/>
      <c r="D29" s="206"/>
      <c r="E29" s="206"/>
      <c r="F29" s="220"/>
      <c r="G29" s="220"/>
      <c r="H29" s="220"/>
      <c r="I29" s="221"/>
      <c r="J29" s="221"/>
      <c r="K29" s="221"/>
      <c r="L29" s="221"/>
      <c r="M29" s="221"/>
      <c r="N29" s="221"/>
      <c r="O29" s="220"/>
      <c r="P29" s="220"/>
      <c r="Q29" s="1"/>
      <c r="U29" s="25"/>
    </row>
    <row r="30" spans="3:21">
      <c r="C30" s="206" t="s">
        <v>20</v>
      </c>
      <c r="D30" s="241"/>
      <c r="E30" s="234">
        <f>E26</f>
        <v>111856217.62113228</v>
      </c>
      <c r="F30" s="220"/>
      <c r="G30" s="220"/>
      <c r="H30" s="220"/>
      <c r="I30" s="220"/>
      <c r="J30" s="220"/>
      <c r="K30" s="220"/>
      <c r="L30" s="220"/>
      <c r="M30" s="220"/>
      <c r="N30" s="220"/>
      <c r="O30" s="220"/>
      <c r="P30" s="220"/>
      <c r="Q30" s="1"/>
      <c r="U30" s="1"/>
    </row>
    <row r="31" spans="3:21">
      <c r="C31" s="201" t="str">
        <f>+S109</f>
        <v xml:space="preserve">   Tax Rate  (TCOS, ln 99)</v>
      </c>
      <c r="D31" s="241"/>
      <c r="E31" s="7">
        <f>+R109</f>
        <v>0.24041499999999993</v>
      </c>
      <c r="F31" s="220"/>
      <c r="G31" s="220"/>
      <c r="H31" s="220"/>
      <c r="I31" s="220"/>
      <c r="J31" s="220"/>
      <c r="K31" s="220"/>
      <c r="L31" s="220"/>
      <c r="M31" s="220"/>
      <c r="N31" s="220"/>
      <c r="O31" s="220"/>
      <c r="P31" s="220"/>
      <c r="Q31" s="1"/>
      <c r="U31" s="1"/>
    </row>
    <row r="32" spans="3:21">
      <c r="C32" s="206" t="s">
        <v>21</v>
      </c>
      <c r="D32" s="2"/>
      <c r="E32" s="208">
        <f>IF(F17&gt;0,($E31/(1-$E31))*(1-$F17/$F20),0)</f>
        <v>0.23553212750382796</v>
      </c>
      <c r="F32" s="1"/>
      <c r="G32" s="208"/>
      <c r="H32" s="242"/>
      <c r="I32" s="1"/>
      <c r="J32" s="1"/>
      <c r="K32" s="1"/>
      <c r="L32" s="1"/>
      <c r="M32" s="1"/>
      <c r="N32" s="1"/>
      <c r="O32" s="1"/>
      <c r="P32" s="1"/>
      <c r="Q32" s="1"/>
      <c r="U32" s="1"/>
    </row>
    <row r="33" spans="2:21">
      <c r="C33" s="243" t="s">
        <v>22</v>
      </c>
      <c r="D33" s="244"/>
      <c r="E33" s="245">
        <f>E30*E32</f>
        <v>26345732.910836458</v>
      </c>
      <c r="F33" s="246"/>
      <c r="G33" s="1"/>
      <c r="H33" s="242"/>
      <c r="I33" s="1"/>
      <c r="J33" s="1"/>
      <c r="K33" s="1"/>
      <c r="L33" s="1"/>
      <c r="M33" s="1"/>
      <c r="N33" s="1"/>
      <c r="O33" s="1"/>
      <c r="P33" s="1"/>
      <c r="Q33" s="1"/>
      <c r="U33" s="1"/>
    </row>
    <row r="34" spans="2:21" ht="15">
      <c r="C34" s="201" t="str">
        <f>+S110</f>
        <v xml:space="preserve">   ITC Adjustment  (TCOS, ln 108)</v>
      </c>
      <c r="D34" s="247"/>
      <c r="E34" s="220">
        <f>+R110</f>
        <v>0</v>
      </c>
      <c r="F34" s="247"/>
      <c r="G34" s="247"/>
      <c r="H34" s="247"/>
      <c r="I34" s="247"/>
      <c r="J34" s="247"/>
      <c r="K34" s="247"/>
      <c r="L34" s="247"/>
      <c r="M34" s="247"/>
      <c r="N34" s="247"/>
      <c r="O34" s="247"/>
      <c r="P34" s="248"/>
      <c r="Q34" s="247"/>
      <c r="U34" s="25"/>
    </row>
    <row r="35" spans="2:21" ht="15">
      <c r="C35" s="237" t="s">
        <v>23</v>
      </c>
      <c r="D35" s="247"/>
      <c r="E35" s="220">
        <f>E33+E34</f>
        <v>26345732.910836458</v>
      </c>
      <c r="F35" s="247"/>
      <c r="G35" s="247"/>
      <c r="H35" s="247"/>
      <c r="I35" s="247"/>
      <c r="J35" s="247"/>
      <c r="K35" s="247"/>
      <c r="L35" s="247"/>
      <c r="M35" s="247"/>
      <c r="N35" s="247"/>
      <c r="O35" s="247"/>
      <c r="P35" s="249"/>
      <c r="Q35" s="247"/>
      <c r="U35" s="1"/>
    </row>
    <row r="36" spans="2:21" ht="12.75" customHeight="1">
      <c r="C36" s="250"/>
      <c r="D36" s="247"/>
      <c r="E36" s="247"/>
      <c r="F36" s="247"/>
      <c r="G36" s="247"/>
      <c r="H36" s="247"/>
      <c r="I36" s="247"/>
      <c r="J36" s="247"/>
      <c r="K36" s="247"/>
      <c r="L36" s="247"/>
      <c r="M36" s="247"/>
      <c r="N36" s="247"/>
      <c r="O36" s="247"/>
      <c r="P36" s="249"/>
      <c r="Q36" s="247"/>
      <c r="R36" s="1"/>
      <c r="S36" s="1"/>
      <c r="T36" s="1"/>
      <c r="U36" s="1"/>
    </row>
    <row r="37" spans="2:21" ht="18.75">
      <c r="B37" s="4" t="s">
        <v>24</v>
      </c>
      <c r="C37" s="9" t="str">
        <f>"Calculate Net Plant Carrying Charge Rate (Fixed Charge Rate or FCR) with hypothetical "&amp;F13&amp;" basis point"</f>
        <v>Calculate Net Plant Carrying Charge Rate (Fixed Charge Rate or FCR) with hypothetical 0 basis point</v>
      </c>
      <c r="D37" s="247"/>
      <c r="E37" s="247"/>
      <c r="F37" s="247"/>
      <c r="G37" s="247"/>
      <c r="H37" s="247"/>
      <c r="I37" s="247"/>
      <c r="J37" s="247"/>
      <c r="K37" s="247"/>
      <c r="L37" s="247"/>
      <c r="M37" s="247"/>
      <c r="N37" s="247"/>
      <c r="O37" s="247"/>
      <c r="P37" s="249"/>
      <c r="Q37" s="247"/>
      <c r="R37" s="1"/>
      <c r="S37" s="1"/>
      <c r="T37" s="1"/>
      <c r="U37" s="1"/>
    </row>
    <row r="38" spans="2:21" ht="15.75" customHeight="1">
      <c r="B38" s="4"/>
      <c r="C38" s="9" t="str">
        <f>"ROE increase."</f>
        <v>ROE increase.</v>
      </c>
      <c r="D38" s="247"/>
      <c r="E38" s="247"/>
      <c r="F38" s="247"/>
      <c r="G38" s="247"/>
      <c r="H38" s="247"/>
      <c r="I38" s="247"/>
      <c r="J38" s="247"/>
      <c r="K38" s="247"/>
      <c r="L38" s="247"/>
      <c r="M38" s="247"/>
      <c r="N38" s="247"/>
      <c r="O38" s="247"/>
      <c r="P38" s="249"/>
      <c r="Q38" s="247"/>
      <c r="R38" s="1"/>
      <c r="S38" s="1"/>
      <c r="T38" s="1"/>
      <c r="U38" s="1"/>
    </row>
    <row r="39" spans="2:21" ht="12.75" customHeight="1">
      <c r="C39" s="250"/>
      <c r="D39" s="247"/>
      <c r="E39" s="247"/>
      <c r="F39" s="247"/>
      <c r="G39" s="247"/>
      <c r="H39" s="247"/>
      <c r="I39" s="247"/>
      <c r="J39" s="247"/>
      <c r="K39" s="247"/>
      <c r="L39" s="247"/>
      <c r="M39" s="247"/>
      <c r="N39" s="247"/>
      <c r="O39" s="247"/>
      <c r="P39" s="249"/>
      <c r="Q39" s="247"/>
      <c r="R39" s="1"/>
      <c r="S39" s="1"/>
      <c r="T39" s="1"/>
      <c r="U39" s="1"/>
    </row>
    <row r="40" spans="2:21" ht="15.75">
      <c r="B40" s="1"/>
      <c r="C40" s="6" t="s">
        <v>240</v>
      </c>
      <c r="D40" s="202"/>
      <c r="E40" s="202"/>
      <c r="F40" s="202"/>
      <c r="G40" s="202"/>
      <c r="H40" s="202"/>
      <c r="I40" s="202"/>
      <c r="J40" s="202"/>
      <c r="K40" s="202"/>
      <c r="L40" s="202"/>
      <c r="M40" s="202"/>
      <c r="N40" s="202"/>
      <c r="O40" s="202"/>
      <c r="P40" s="220"/>
      <c r="Q40" s="202"/>
      <c r="R40" s="1"/>
      <c r="S40" s="1"/>
      <c r="T40" s="1"/>
      <c r="U40" s="1"/>
    </row>
    <row r="41" spans="2:21" ht="15.75">
      <c r="B41" s="1"/>
      <c r="C41" s="6"/>
      <c r="D41" s="202"/>
      <c r="E41" s="202"/>
      <c r="F41" s="202"/>
      <c r="G41" s="202"/>
      <c r="H41" s="202"/>
      <c r="I41" s="202"/>
      <c r="J41" s="202"/>
      <c r="K41" s="202"/>
      <c r="L41" s="202"/>
      <c r="M41" s="202"/>
      <c r="N41" s="202"/>
      <c r="O41" s="202"/>
      <c r="P41" s="220"/>
      <c r="Q41" s="202"/>
      <c r="R41" s="1"/>
      <c r="S41" s="1"/>
      <c r="T41" s="1"/>
      <c r="U41" s="1"/>
    </row>
    <row r="42" spans="2:21" ht="12.75" customHeight="1">
      <c r="B42" s="1"/>
      <c r="C42" s="201" t="str">
        <f>+S113</f>
        <v xml:space="preserve">   Net Revenue Requirement  (TCOS, ln 117)</v>
      </c>
      <c r="D42" s="202"/>
      <c r="E42" s="202"/>
      <c r="F42" s="220">
        <f>+R113</f>
        <v>240841056.78061655</v>
      </c>
      <c r="G42" s="202"/>
      <c r="H42" s="202"/>
      <c r="I42" s="202"/>
      <c r="J42" s="202"/>
      <c r="K42" s="202"/>
      <c r="L42" s="202"/>
      <c r="M42" s="202"/>
      <c r="N42" s="202"/>
      <c r="O42" s="202"/>
      <c r="P42" s="220"/>
      <c r="Q42" s="202"/>
      <c r="R42" s="1"/>
      <c r="S42" s="1"/>
      <c r="T42" s="1"/>
      <c r="U42" s="1"/>
    </row>
    <row r="43" spans="2:21">
      <c r="B43" s="1"/>
      <c r="C43" s="201" t="str">
        <f>+S114</f>
        <v xml:space="preserve">   Return  (TCOS, ln 112)</v>
      </c>
      <c r="D43" s="202"/>
      <c r="E43" s="202"/>
      <c r="F43" s="221">
        <f>+R114</f>
        <v>111856217.62113228</v>
      </c>
      <c r="G43" s="201"/>
      <c r="H43" s="201"/>
      <c r="I43" s="201"/>
      <c r="J43" s="201"/>
      <c r="K43" s="201"/>
      <c r="L43" s="201"/>
      <c r="M43" s="201"/>
      <c r="N43" s="201"/>
      <c r="O43" s="201"/>
      <c r="P43" s="220"/>
      <c r="Q43" s="202"/>
      <c r="R43" s="1"/>
      <c r="S43" s="1"/>
      <c r="T43" s="1"/>
      <c r="U43" s="1"/>
    </row>
    <row r="44" spans="2:21">
      <c r="B44" s="1"/>
      <c r="C44" s="201" t="str">
        <f>+S115</f>
        <v xml:space="preserve">   Income Taxes  (TCOS, ln 111)</v>
      </c>
      <c r="D44" s="202"/>
      <c r="E44" s="202"/>
      <c r="F44" s="220">
        <f>+R115</f>
        <v>26639287.826559827</v>
      </c>
      <c r="G44" s="202"/>
      <c r="H44" s="202"/>
      <c r="I44" s="251"/>
      <c r="J44" s="251"/>
      <c r="K44" s="251"/>
      <c r="L44" s="251"/>
      <c r="M44" s="251"/>
      <c r="N44" s="251"/>
      <c r="O44" s="202"/>
      <c r="P44" s="202"/>
      <c r="Q44" s="202"/>
      <c r="R44" s="1"/>
      <c r="S44" s="1"/>
      <c r="T44" s="1"/>
      <c r="U44" s="1"/>
    </row>
    <row r="45" spans="2:21">
      <c r="B45" s="1"/>
      <c r="C45" s="201" t="str">
        <f>+S116</f>
        <v xml:space="preserve">  Gross Margin Taxes  (TCOS, ln 116)</v>
      </c>
      <c r="D45" s="202"/>
      <c r="E45" s="202"/>
      <c r="F45" s="252">
        <f>+R116</f>
        <v>0</v>
      </c>
      <c r="G45" s="202"/>
      <c r="H45" s="202"/>
      <c r="I45" s="251"/>
      <c r="J45" s="251"/>
      <c r="K45" s="251"/>
      <c r="L45" s="251"/>
      <c r="M45" s="251"/>
      <c r="N45" s="251"/>
      <c r="O45" s="202"/>
      <c r="P45" s="202"/>
      <c r="Q45" s="202"/>
      <c r="R45" s="1"/>
      <c r="S45" s="1"/>
      <c r="T45" s="1"/>
      <c r="U45" s="1"/>
    </row>
    <row r="46" spans="2:21">
      <c r="B46" s="1"/>
      <c r="C46" s="1" t="s">
        <v>25</v>
      </c>
      <c r="D46" s="202"/>
      <c r="E46" s="202"/>
      <c r="F46" s="221">
        <f>F42-F43-F44-F45</f>
        <v>102345551.33292444</v>
      </c>
      <c r="G46" s="218"/>
      <c r="H46" s="202"/>
      <c r="I46" s="218"/>
      <c r="J46" s="218"/>
      <c r="K46" s="218"/>
      <c r="L46" s="218"/>
      <c r="M46" s="218"/>
      <c r="N46" s="218"/>
      <c r="O46" s="202"/>
      <c r="P46" s="218"/>
      <c r="Q46" s="202"/>
      <c r="R46" s="1"/>
      <c r="S46" s="1"/>
      <c r="T46" s="1"/>
      <c r="U46" s="1"/>
    </row>
    <row r="47" spans="2:21">
      <c r="B47" s="1"/>
      <c r="C47" s="201"/>
      <c r="D47" s="202"/>
      <c r="E47" s="202"/>
      <c r="F47" s="220"/>
      <c r="G47" s="203"/>
      <c r="H47" s="253"/>
      <c r="I47" s="253"/>
      <c r="J47" s="253"/>
      <c r="K47" s="253"/>
      <c r="L47" s="253"/>
      <c r="M47" s="253"/>
      <c r="N47" s="253"/>
      <c r="O47" s="206"/>
      <c r="P47" s="253"/>
      <c r="Q47" s="254"/>
      <c r="R47" s="1"/>
      <c r="S47" s="1"/>
      <c r="T47" s="1"/>
      <c r="U47" s="1"/>
    </row>
    <row r="48" spans="2:21" ht="15.75">
      <c r="B48" s="1"/>
      <c r="C48" s="6" t="str">
        <f>"B.   Determine Net Revenue Requirement with hypothetical "&amp;F13&amp;" basis point increase in ROE."</f>
        <v>B.   Determine Net Revenue Requirement with hypothetical 0 basis point increase in ROE.</v>
      </c>
      <c r="D48" s="206"/>
      <c r="E48" s="206"/>
      <c r="F48" s="220"/>
      <c r="G48" s="203"/>
      <c r="H48" s="253"/>
      <c r="I48" s="253"/>
      <c r="J48" s="253"/>
      <c r="K48" s="253"/>
      <c r="L48" s="253"/>
      <c r="M48" s="253"/>
      <c r="N48" s="253"/>
      <c r="O48" s="206"/>
      <c r="P48" s="253"/>
      <c r="Q48" s="202"/>
      <c r="T48" s="1"/>
      <c r="U48" s="1"/>
    </row>
    <row r="49" spans="2:21" ht="15.75">
      <c r="B49" s="1"/>
      <c r="C49" s="6"/>
      <c r="D49" s="206"/>
      <c r="E49" s="206"/>
      <c r="F49" s="220"/>
      <c r="G49" s="203"/>
      <c r="H49" s="253"/>
      <c r="I49" s="253"/>
      <c r="J49" s="253"/>
      <c r="K49" s="253"/>
      <c r="L49" s="253"/>
      <c r="M49" s="253"/>
      <c r="N49" s="253"/>
      <c r="O49" s="206"/>
      <c r="P49" s="253"/>
      <c r="Q49" s="202"/>
      <c r="T49" s="1"/>
      <c r="U49" s="1"/>
    </row>
    <row r="50" spans="2:21">
      <c r="B50" s="1"/>
      <c r="C50" s="201" t="str">
        <f>C46</f>
        <v xml:space="preserve">   Net Revenue Requirement, Less Return and Taxes</v>
      </c>
      <c r="D50" s="206"/>
      <c r="E50" s="206"/>
      <c r="F50" s="220">
        <f>F46</f>
        <v>102345551.33292444</v>
      </c>
      <c r="G50" s="202"/>
      <c r="H50" s="202"/>
      <c r="I50" s="202"/>
      <c r="J50" s="202"/>
      <c r="K50" s="202"/>
      <c r="L50" s="202"/>
      <c r="M50" s="202"/>
      <c r="N50" s="202"/>
      <c r="O50" s="255"/>
      <c r="P50" s="256"/>
      <c r="Q50" s="257"/>
      <c r="T50" s="1"/>
      <c r="U50" s="1"/>
    </row>
    <row r="51" spans="2:21">
      <c r="B51" s="1"/>
      <c r="C51" s="206" t="s">
        <v>92</v>
      </c>
      <c r="D51" s="2"/>
      <c r="E51" s="1"/>
      <c r="F51" s="246">
        <f>E26</f>
        <v>111856217.62113228</v>
      </c>
      <c r="G51" s="1"/>
      <c r="H51" s="258"/>
      <c r="I51" s="1"/>
      <c r="J51" s="1"/>
      <c r="K51" s="1"/>
      <c r="L51" s="1"/>
      <c r="M51" s="1"/>
      <c r="N51" s="1"/>
      <c r="O51" s="1"/>
      <c r="P51" s="1"/>
      <c r="Q51" s="1"/>
      <c r="T51" s="1"/>
      <c r="U51" s="1"/>
    </row>
    <row r="52" spans="2:21" ht="12.75" customHeight="1">
      <c r="B52" s="1"/>
      <c r="C52" s="201" t="s">
        <v>26</v>
      </c>
      <c r="D52" s="202"/>
      <c r="E52" s="202"/>
      <c r="F52" s="259">
        <f>E35</f>
        <v>26345732.910836458</v>
      </c>
      <c r="G52" s="1"/>
      <c r="H52" s="260"/>
      <c r="I52" s="1"/>
      <c r="J52" s="1"/>
      <c r="K52" s="1"/>
      <c r="L52" s="1"/>
      <c r="M52" s="1"/>
      <c r="N52" s="1"/>
      <c r="O52" s="1"/>
      <c r="P52" s="1"/>
      <c r="Q52" s="1"/>
      <c r="T52" s="1"/>
      <c r="U52" s="1"/>
    </row>
    <row r="53" spans="2:21">
      <c r="B53" s="1"/>
      <c r="C53" s="1" t="str">
        <f>"   Net Revenue Requirement, with "&amp;F13&amp;" Basis Point ROE increase"</f>
        <v xml:space="preserve">   Net Revenue Requirement, with 0 Basis Point ROE increase</v>
      </c>
      <c r="D53" s="2"/>
      <c r="E53" s="1"/>
      <c r="F53" s="246">
        <f>SUM(F50:F52)</f>
        <v>240547501.8648932</v>
      </c>
      <c r="G53" s="1"/>
      <c r="H53" s="260"/>
      <c r="I53" s="1"/>
      <c r="J53" s="1"/>
      <c r="K53" s="1"/>
      <c r="L53" s="1"/>
      <c r="M53" s="1"/>
      <c r="N53" s="1"/>
      <c r="O53" s="1"/>
      <c r="P53" s="1"/>
      <c r="Q53" s="1"/>
      <c r="R53" s="1"/>
      <c r="S53" s="1"/>
      <c r="T53" s="1"/>
      <c r="U53" s="1"/>
    </row>
    <row r="54" spans="2:21">
      <c r="B54" s="1"/>
      <c r="C54" s="1" t="str">
        <f>"   Gross Margin Tax with "&amp;F13&amp;" Basis Point ROE Increase (II C. below)"</f>
        <v xml:space="preserve">   Gross Margin Tax with 0 Basis Point ROE Increase (II C. below)</v>
      </c>
      <c r="F54" s="261">
        <f>+F69</f>
        <v>0</v>
      </c>
      <c r="G54" s="1"/>
      <c r="H54" s="260"/>
      <c r="I54" s="1"/>
      <c r="J54" s="1"/>
      <c r="K54" s="1"/>
      <c r="L54" s="1"/>
      <c r="M54" s="1"/>
      <c r="N54" s="1"/>
      <c r="O54" s="1"/>
      <c r="P54" s="1"/>
      <c r="Q54" s="1"/>
      <c r="R54" s="1"/>
      <c r="S54" s="1"/>
      <c r="T54" s="1"/>
      <c r="U54" s="1"/>
    </row>
    <row r="55" spans="2:21">
      <c r="B55" s="1"/>
      <c r="C55" s="1" t="s">
        <v>27</v>
      </c>
      <c r="D55" s="2"/>
      <c r="E55" s="1"/>
      <c r="F55" s="246">
        <f>+F53+F54</f>
        <v>240547501.8648932</v>
      </c>
      <c r="G55" s="1"/>
      <c r="H55" s="260"/>
      <c r="I55" s="1"/>
      <c r="J55" s="1"/>
      <c r="K55" s="1"/>
      <c r="L55" s="1"/>
      <c r="M55" s="1"/>
      <c r="N55" s="1"/>
      <c r="O55" s="1"/>
      <c r="P55" s="1"/>
      <c r="Q55" s="1"/>
      <c r="R55" s="1"/>
      <c r="S55" s="1"/>
      <c r="T55" s="1"/>
      <c r="U55" s="1"/>
    </row>
    <row r="56" spans="2:21">
      <c r="B56" s="1"/>
      <c r="C56" s="201" t="str">
        <f>+S117</f>
        <v xml:space="preserve">   Less: Depreciation  (TCOS, ln 86)</v>
      </c>
      <c r="D56" s="2"/>
      <c r="E56" s="1"/>
      <c r="F56" s="262">
        <f>+R117</f>
        <v>62698227.324767001</v>
      </c>
      <c r="G56" s="1"/>
      <c r="H56" s="260"/>
      <c r="I56" s="1"/>
      <c r="J56" s="1"/>
      <c r="K56" s="1"/>
      <c r="L56" s="1"/>
      <c r="M56" s="1"/>
      <c r="N56" s="1"/>
      <c r="O56" s="1"/>
      <c r="P56" s="1"/>
      <c r="Q56" s="1"/>
      <c r="R56" s="1"/>
      <c r="S56" s="1"/>
      <c r="T56" s="1"/>
      <c r="U56" s="1"/>
    </row>
    <row r="57" spans="2:21">
      <c r="B57" s="1"/>
      <c r="C57" s="1" t="str">
        <f>"   Net Rev. Req, w/"&amp;F13&amp;" Basis Point ROE increase, less Depreciation"</f>
        <v xml:space="preserve">   Net Rev. Req, w/0 Basis Point ROE increase, less Depreciation</v>
      </c>
      <c r="D57" s="2"/>
      <c r="E57" s="1"/>
      <c r="F57" s="246">
        <f>F55-F56</f>
        <v>177849274.5401262</v>
      </c>
      <c r="G57" s="1"/>
      <c r="H57" s="260"/>
      <c r="I57" s="1"/>
      <c r="J57" s="1"/>
      <c r="K57" s="1"/>
      <c r="L57" s="1"/>
      <c r="M57" s="1"/>
      <c r="N57" s="1"/>
      <c r="O57" s="1"/>
      <c r="P57" s="1"/>
      <c r="Q57" s="1"/>
      <c r="R57" s="1"/>
      <c r="S57" s="1"/>
      <c r="T57" s="1"/>
      <c r="U57" s="1"/>
    </row>
    <row r="58" spans="2:21">
      <c r="B58" s="1"/>
      <c r="C58" s="1"/>
      <c r="D58" s="2"/>
      <c r="E58" s="1"/>
      <c r="F58" s="1"/>
      <c r="G58" s="1"/>
      <c r="H58" s="260"/>
      <c r="I58" s="1"/>
      <c r="J58" s="1"/>
      <c r="K58" s="1"/>
      <c r="L58" s="1"/>
      <c r="M58" s="1"/>
      <c r="N58" s="1"/>
      <c r="O58" s="1"/>
      <c r="P58" s="1"/>
      <c r="Q58" s="1"/>
      <c r="R58" s="1"/>
      <c r="S58" s="1"/>
      <c r="T58" s="1"/>
      <c r="U58" s="1"/>
    </row>
    <row r="59" spans="2:21" ht="15.75">
      <c r="B59" s="1"/>
      <c r="C59" s="6" t="str">
        <f>"C.   Determine Gross Margin Tax with hypothetical "&amp;F13&amp;" basis point increase in ROE."</f>
        <v>C.   Determine Gross Margin Tax with hypothetical 0 basis point increase in ROE.</v>
      </c>
      <c r="F59" s="246"/>
      <c r="G59" s="1"/>
      <c r="H59" s="263"/>
      <c r="I59" s="1"/>
      <c r="J59" s="1"/>
      <c r="K59" s="1"/>
      <c r="L59" s="1"/>
      <c r="M59" s="1"/>
      <c r="N59" s="1"/>
      <c r="O59" s="1"/>
      <c r="P59" s="1"/>
      <c r="Q59" s="1"/>
      <c r="R59" s="1"/>
      <c r="S59" s="1"/>
      <c r="T59" s="1"/>
      <c r="U59" s="1"/>
    </row>
    <row r="60" spans="2:21">
      <c r="B60" s="1"/>
      <c r="C60" s="1" t="str">
        <f>"   Net Revenue Requirement before Gross Margin Taxes, with "&amp;F13&amp;" "</f>
        <v xml:space="preserve">   Net Revenue Requirement before Gross Margin Taxes, with 0 </v>
      </c>
      <c r="F60" s="246">
        <f>+F53</f>
        <v>240547501.8648932</v>
      </c>
      <c r="G60" s="1"/>
      <c r="H60" s="263"/>
      <c r="I60" s="1"/>
      <c r="J60" s="1"/>
      <c r="K60" s="1"/>
      <c r="L60" s="1"/>
      <c r="M60" s="1"/>
      <c r="N60" s="1"/>
      <c r="O60" s="1"/>
      <c r="P60" s="1"/>
      <c r="Q60" s="1"/>
      <c r="R60" s="1"/>
      <c r="S60" s="1"/>
      <c r="T60" s="1"/>
      <c r="U60" s="1"/>
    </row>
    <row r="61" spans="2:21">
      <c r="B61" s="1"/>
      <c r="C61" s="1" t="s">
        <v>28</v>
      </c>
      <c r="F61" s="246"/>
      <c r="G61" s="1"/>
      <c r="H61" s="263"/>
      <c r="I61" s="1"/>
      <c r="J61" s="1"/>
      <c r="K61" s="1"/>
      <c r="L61" s="1"/>
      <c r="M61" s="1"/>
      <c r="N61" s="1"/>
      <c r="O61" s="1"/>
      <c r="P61" s="1"/>
      <c r="Q61" s="1"/>
      <c r="R61" s="1"/>
      <c r="S61" s="1"/>
      <c r="T61" s="1"/>
      <c r="U61" s="1"/>
    </row>
    <row r="62" spans="2:21">
      <c r="B62" s="1"/>
      <c r="C62" s="1" t="str">
        <f>+S118</f>
        <v xml:space="preserve">       Apportionment Factor to Texas (Worksheet K, ln 12)</v>
      </c>
      <c r="D62" s="2"/>
      <c r="E62" s="1"/>
      <c r="F62" s="264">
        <f>+R118</f>
        <v>0</v>
      </c>
      <c r="G62" s="1"/>
      <c r="H62" s="263"/>
      <c r="I62" s="1"/>
      <c r="J62" s="1"/>
      <c r="K62" s="1"/>
      <c r="L62" s="1"/>
      <c r="M62" s="1"/>
      <c r="N62" s="1"/>
      <c r="O62" s="1"/>
      <c r="P62" s="1"/>
      <c r="Q62" s="1"/>
      <c r="R62" s="1"/>
      <c r="S62" s="1"/>
      <c r="T62" s="1"/>
      <c r="U62" s="1"/>
    </row>
    <row r="63" spans="2:21">
      <c r="B63" s="1"/>
      <c r="C63" s="1" t="s">
        <v>29</v>
      </c>
      <c r="D63" s="2"/>
      <c r="E63" s="1"/>
      <c r="F63" s="246">
        <f>+F60*F62</f>
        <v>0</v>
      </c>
      <c r="G63" s="1"/>
      <c r="H63" s="263"/>
      <c r="I63" s="1"/>
      <c r="J63" s="1"/>
      <c r="K63" s="1"/>
      <c r="L63" s="1"/>
      <c r="M63" s="1"/>
      <c r="N63" s="1"/>
      <c r="O63" s="1"/>
      <c r="P63" s="1"/>
      <c r="Q63" s="1"/>
      <c r="R63" s="1"/>
      <c r="S63" s="1"/>
      <c r="T63" s="1"/>
      <c r="U63" s="1"/>
    </row>
    <row r="64" spans="2:21">
      <c r="B64" s="1"/>
      <c r="C64" s="1" t="s">
        <v>257</v>
      </c>
      <c r="D64" s="2"/>
      <c r="E64" s="1"/>
      <c r="F64" s="265">
        <v>0.22</v>
      </c>
      <c r="G64" s="1"/>
      <c r="H64" s="263"/>
      <c r="I64" s="1"/>
      <c r="J64" s="1"/>
      <c r="K64" s="1"/>
      <c r="L64" s="1"/>
      <c r="M64" s="1"/>
      <c r="N64" s="1"/>
      <c r="O64" s="1"/>
      <c r="P64" s="1"/>
      <c r="Q64" s="1"/>
      <c r="R64" s="1"/>
      <c r="S64" s="1"/>
      <c r="T64" s="1"/>
      <c r="U64" s="1"/>
    </row>
    <row r="65" spans="2:21">
      <c r="B65" s="1"/>
      <c r="C65" s="1" t="s">
        <v>30</v>
      </c>
      <c r="D65" s="2"/>
      <c r="E65" s="1"/>
      <c r="F65" s="246">
        <f>+F63*F64</f>
        <v>0</v>
      </c>
      <c r="G65" s="1"/>
      <c r="H65" s="263"/>
      <c r="I65" s="1"/>
      <c r="J65" s="1"/>
      <c r="K65" s="1"/>
      <c r="L65" s="1"/>
      <c r="M65" s="1"/>
      <c r="N65" s="1"/>
      <c r="O65" s="1"/>
      <c r="P65" s="1"/>
      <c r="Q65" s="1"/>
      <c r="R65" s="1"/>
      <c r="S65" s="1"/>
      <c r="T65" s="1"/>
      <c r="U65" s="1"/>
    </row>
    <row r="66" spans="2:21">
      <c r="B66" s="1"/>
      <c r="C66" s="1" t="s">
        <v>31</v>
      </c>
      <c r="D66" s="2"/>
      <c r="E66" s="1"/>
      <c r="F66" s="265">
        <v>0.01</v>
      </c>
      <c r="G66" s="1"/>
      <c r="H66" s="263"/>
      <c r="I66" s="1"/>
      <c r="J66" s="1"/>
      <c r="K66" s="1"/>
      <c r="L66" s="1"/>
      <c r="M66" s="1"/>
      <c r="N66" s="1"/>
      <c r="O66" s="1"/>
      <c r="P66" s="1"/>
      <c r="Q66" s="1"/>
      <c r="R66" s="1"/>
      <c r="S66" s="1"/>
      <c r="T66" s="1"/>
      <c r="U66" s="1"/>
    </row>
    <row r="67" spans="2:21">
      <c r="B67" s="1"/>
      <c r="C67" s="1" t="s">
        <v>32</v>
      </c>
      <c r="D67" s="2"/>
      <c r="E67" s="1"/>
      <c r="F67" s="246">
        <f>+F65*F66</f>
        <v>0</v>
      </c>
      <c r="G67" s="1"/>
      <c r="H67" s="263"/>
      <c r="I67" s="1"/>
      <c r="J67" s="1"/>
      <c r="K67" s="1"/>
      <c r="L67" s="1"/>
      <c r="M67" s="1"/>
      <c r="N67" s="1"/>
      <c r="O67" s="1"/>
      <c r="P67" s="1"/>
      <c r="Q67" s="1"/>
      <c r="R67" s="1"/>
      <c r="S67" s="1"/>
      <c r="T67" s="1"/>
      <c r="U67" s="1"/>
    </row>
    <row r="68" spans="2:21">
      <c r="B68" s="1"/>
      <c r="C68" s="1" t="s">
        <v>33</v>
      </c>
      <c r="D68" s="2"/>
      <c r="E68" s="1"/>
      <c r="F68" s="266">
        <f>+ROUND((F67*F64*F62)/(1-F66)*F66,0)</f>
        <v>0</v>
      </c>
      <c r="G68" s="1"/>
      <c r="H68" s="263"/>
      <c r="I68" s="1"/>
      <c r="J68" s="1"/>
      <c r="K68" s="1"/>
      <c r="L68" s="1"/>
      <c r="M68" s="1"/>
      <c r="N68" s="1"/>
      <c r="O68" s="1"/>
      <c r="P68" s="1"/>
      <c r="Q68" s="1"/>
      <c r="R68" s="1"/>
      <c r="S68" s="1"/>
      <c r="T68" s="1"/>
      <c r="U68" s="1"/>
    </row>
    <row r="69" spans="2:21">
      <c r="B69" s="1"/>
      <c r="C69" s="1" t="s">
        <v>34</v>
      </c>
      <c r="D69" s="2"/>
      <c r="E69" s="1"/>
      <c r="F69" s="246">
        <f>+F67+F68</f>
        <v>0</v>
      </c>
      <c r="G69" s="1"/>
      <c r="H69" s="263"/>
      <c r="I69" s="1"/>
      <c r="J69" s="1"/>
      <c r="K69" s="1"/>
      <c r="L69" s="1"/>
      <c r="M69" s="1"/>
      <c r="N69" s="1"/>
      <c r="O69" s="1"/>
      <c r="P69" s="1"/>
      <c r="Q69" s="1"/>
      <c r="R69" s="1"/>
      <c r="S69" s="1"/>
      <c r="T69" s="1"/>
      <c r="U69" s="1"/>
    </row>
    <row r="70" spans="2:21">
      <c r="B70" s="1"/>
      <c r="C70" s="1"/>
      <c r="D70" s="2"/>
      <c r="E70" s="1"/>
      <c r="F70" s="1"/>
      <c r="G70" s="1"/>
      <c r="H70" s="260"/>
      <c r="I70" s="1"/>
      <c r="J70" s="1"/>
      <c r="K70" s="1"/>
      <c r="L70" s="1"/>
      <c r="M70" s="1"/>
      <c r="N70" s="1"/>
      <c r="O70" s="1"/>
      <c r="P70" s="1"/>
      <c r="Q70" s="1"/>
      <c r="R70" s="1"/>
      <c r="S70" s="1"/>
      <c r="T70" s="1"/>
      <c r="U70" s="1"/>
    </row>
    <row r="71" spans="2:21" ht="15.75">
      <c r="B71" s="1"/>
      <c r="C71" s="6" t="str">
        <f>"D.   Determine FCR with hypothetical "&amp;F13&amp;" basis point ROE increase."</f>
        <v>D.   Determine FCR with hypothetical 0 basis point ROE increase.</v>
      </c>
      <c r="D71" s="2"/>
      <c r="E71" s="1"/>
      <c r="F71" s="1"/>
      <c r="G71" s="1"/>
      <c r="H71" s="260"/>
      <c r="I71" s="1"/>
      <c r="J71" s="1"/>
      <c r="K71" s="1"/>
      <c r="L71" s="1"/>
      <c r="M71" s="1"/>
      <c r="N71" s="1"/>
      <c r="O71" s="1"/>
      <c r="P71" s="1"/>
      <c r="Q71" s="1"/>
      <c r="R71" s="1"/>
      <c r="S71" s="1"/>
      <c r="T71" s="1"/>
      <c r="U71" s="1"/>
    </row>
    <row r="72" spans="2:21">
      <c r="B72" s="1"/>
      <c r="C72" s="201" t="str">
        <f>+S119</f>
        <v xml:space="preserve">   Net Transmission Plant  (TCOS, ln 37)</v>
      </c>
      <c r="D72" s="2"/>
      <c r="E72" s="1"/>
      <c r="F72" s="246">
        <f>+R119</f>
        <v>1556513258.6847558</v>
      </c>
      <c r="G72" s="267"/>
      <c r="H72" s="183"/>
      <c r="P72" s="1"/>
      <c r="Q72" s="1"/>
      <c r="R72" s="1"/>
      <c r="S72" s="1"/>
      <c r="T72" s="1"/>
      <c r="U72" s="260"/>
    </row>
    <row r="73" spans="2:21">
      <c r="B73" s="1"/>
      <c r="C73" s="1" t="str">
        <f>"   Net Revenue Requirement, with "&amp;F13&amp;" Basis Point ROE increase"</f>
        <v xml:space="preserve">   Net Revenue Requirement, with 0 Basis Point ROE increase</v>
      </c>
      <c r="D73" s="2"/>
      <c r="E73" s="1"/>
      <c r="F73" s="261">
        <f>F53</f>
        <v>240547501.8648932</v>
      </c>
      <c r="H73" s="183"/>
      <c r="P73" s="1"/>
      <c r="Q73" s="1"/>
      <c r="R73" s="1"/>
      <c r="S73" s="1"/>
      <c r="T73" s="1"/>
      <c r="U73" s="260"/>
    </row>
    <row r="74" spans="2:21">
      <c r="B74" s="1"/>
      <c r="C74" s="1" t="str">
        <f>"   FCR with "&amp;F13&amp;" Basis Point increase in ROE"</f>
        <v xml:space="preserve">   FCR with 0 Basis Point increase in ROE</v>
      </c>
      <c r="D74" s="2"/>
      <c r="E74" s="1"/>
      <c r="F74" s="7">
        <f>IF(F72=0,0,F73/F72)</f>
        <v>0.15454253314112748</v>
      </c>
      <c r="H74" s="183"/>
      <c r="P74" s="1"/>
      <c r="Q74" s="1"/>
      <c r="R74" s="1"/>
      <c r="S74" s="1"/>
      <c r="T74" s="1"/>
      <c r="U74" s="260"/>
    </row>
    <row r="75" spans="2:21">
      <c r="B75" s="1"/>
      <c r="D75" s="2"/>
      <c r="E75" s="1"/>
      <c r="F75" s="1"/>
      <c r="H75" s="183"/>
      <c r="P75" s="1"/>
      <c r="Q75" s="1"/>
      <c r="R75" s="1"/>
      <c r="S75" s="1"/>
      <c r="T75" s="1"/>
      <c r="U75" s="260"/>
    </row>
    <row r="76" spans="2:21">
      <c r="B76" s="1"/>
      <c r="C76" s="1" t="str">
        <f>"   Net Rev. Req, w / "&amp;F13&amp;" Basis Point ROE increase, less Dep."</f>
        <v xml:space="preserve">   Net Rev. Req, w / 0 Basis Point ROE increase, less Dep.</v>
      </c>
      <c r="D76" s="2"/>
      <c r="E76" s="1"/>
      <c r="F76" s="246">
        <f>F57</f>
        <v>177849274.5401262</v>
      </c>
      <c r="G76" s="267"/>
      <c r="H76" s="183"/>
      <c r="P76" s="1"/>
      <c r="Q76" s="1"/>
      <c r="R76" s="1"/>
      <c r="S76" s="1"/>
      <c r="T76" s="1"/>
      <c r="U76" s="260"/>
    </row>
    <row r="77" spans="2:21">
      <c r="B77" s="1"/>
      <c r="C77" s="1" t="str">
        <f>"   FCR with "&amp;F13&amp;" Basis Point ROE increase, less Depreciation"</f>
        <v xml:space="preserve">   FCR with 0 Basis Point ROE increase, less Depreciation</v>
      </c>
      <c r="D77" s="2"/>
      <c r="E77" s="1"/>
      <c r="F77" s="7">
        <f>IF(F72=0,0,F76/F72)</f>
        <v>0.11426132964033198</v>
      </c>
      <c r="G77" s="7"/>
      <c r="H77" s="183"/>
      <c r="P77" s="1"/>
      <c r="Q77" s="1"/>
      <c r="R77" s="1"/>
      <c r="S77" s="1"/>
      <c r="T77" s="1"/>
      <c r="U77" s="260"/>
    </row>
    <row r="78" spans="2:21">
      <c r="B78" s="1"/>
      <c r="C78" s="201" t="str">
        <f>+S120</f>
        <v xml:space="preserve">   FCR less Depreciation  (TCOS, ln 10)</v>
      </c>
      <c r="D78" s="2"/>
      <c r="E78" s="1"/>
      <c r="F78" s="268">
        <f>+R120</f>
        <v>0.11444992740144029</v>
      </c>
      <c r="H78" s="183"/>
      <c r="P78" s="1"/>
      <c r="Q78" s="1"/>
      <c r="R78" s="1"/>
      <c r="S78" s="1"/>
      <c r="T78" s="1"/>
      <c r="U78" s="260"/>
    </row>
    <row r="79" spans="2:21">
      <c r="B79" s="1"/>
      <c r="C79" s="545" t="str">
        <f>"   Incremental FCR with "&amp;F13&amp;" Basis Point ROE increase, less Depreciation"</f>
        <v xml:space="preserve">   Incremental FCR with 0 Basis Point ROE increase, less Depreciation</v>
      </c>
      <c r="D79" s="548"/>
      <c r="E79" s="548"/>
      <c r="F79" s="7">
        <f>F77-F78</f>
        <v>-1.8859776110831394E-4</v>
      </c>
      <c r="H79" s="183"/>
      <c r="P79" s="1"/>
      <c r="Q79" s="1"/>
      <c r="R79" s="1"/>
      <c r="S79" s="1"/>
      <c r="T79" s="1"/>
      <c r="U79" s="260"/>
    </row>
    <row r="80" spans="2:21">
      <c r="B80" s="1"/>
      <c r="C80" s="548"/>
      <c r="D80" s="548"/>
      <c r="E80" s="548"/>
      <c r="F80" s="7"/>
      <c r="G80" s="1"/>
      <c r="H80" s="260"/>
      <c r="I80" s="1"/>
      <c r="J80" s="1"/>
      <c r="K80" s="1"/>
      <c r="L80" s="1"/>
      <c r="M80" s="1"/>
      <c r="N80" s="1"/>
      <c r="O80" s="1"/>
      <c r="P80" s="1"/>
      <c r="Q80" s="1"/>
      <c r="R80" s="1"/>
      <c r="S80" s="1"/>
      <c r="T80" s="1"/>
      <c r="U80" s="1"/>
    </row>
    <row r="81" spans="2:21" ht="18.75">
      <c r="B81" s="4" t="s">
        <v>35</v>
      </c>
      <c r="C81" s="9" t="s">
        <v>36</v>
      </c>
      <c r="D81" s="2"/>
      <c r="E81" s="1"/>
      <c r="F81" s="7"/>
      <c r="G81" s="1"/>
      <c r="H81" s="260"/>
      <c r="I81" s="1"/>
      <c r="J81" s="1"/>
      <c r="K81" s="1"/>
      <c r="L81" s="1"/>
      <c r="M81" s="1"/>
      <c r="N81" s="1"/>
      <c r="O81" s="1"/>
      <c r="P81" s="1"/>
      <c r="Q81" s="1"/>
      <c r="R81" s="1"/>
      <c r="S81" s="1"/>
      <c r="T81" s="1"/>
      <c r="U81" s="1"/>
    </row>
    <row r="82" spans="2:21" ht="12.75" customHeight="1">
      <c r="B82" s="4"/>
      <c r="C82" s="1" t="s">
        <v>37</v>
      </c>
      <c r="D82" s="2"/>
      <c r="F82" s="263">
        <f>R121</f>
        <v>1776993795.7780001</v>
      </c>
      <c r="G82" s="1" t="s">
        <v>241</v>
      </c>
      <c r="H82" s="260"/>
      <c r="I82" s="540" t="s">
        <v>259</v>
      </c>
      <c r="J82" s="540"/>
      <c r="K82" s="540"/>
      <c r="L82" s="540"/>
      <c r="M82" s="540"/>
      <c r="N82" s="540"/>
      <c r="O82" s="1"/>
      <c r="P82" s="1"/>
      <c r="Q82" s="1"/>
      <c r="R82" s="1"/>
      <c r="S82" s="1"/>
      <c r="T82" s="1"/>
      <c r="U82" s="1"/>
    </row>
    <row r="83" spans="2:21" ht="12.75" customHeight="1">
      <c r="B83" s="4"/>
      <c r="C83" s="1" t="s">
        <v>38</v>
      </c>
      <c r="D83" s="2"/>
      <c r="F83" s="269">
        <f>R122</f>
        <v>2005830110.1856899</v>
      </c>
      <c r="G83" s="1" t="s">
        <v>241</v>
      </c>
      <c r="H83" s="260"/>
      <c r="I83" s="540"/>
      <c r="J83" s="540"/>
      <c r="K83" s="540"/>
      <c r="L83" s="540"/>
      <c r="M83" s="540"/>
      <c r="N83" s="540"/>
      <c r="O83" s="1"/>
      <c r="P83" s="1"/>
      <c r="Q83" s="1"/>
      <c r="R83" s="1"/>
      <c r="S83" s="1"/>
      <c r="T83" s="1"/>
      <c r="U83" s="1"/>
    </row>
    <row r="84" spans="2:21">
      <c r="B84" s="1"/>
      <c r="C84" s="1"/>
      <c r="D84" s="2"/>
      <c r="F84" s="260">
        <f>SUM(F82:F83)</f>
        <v>3782823905.9636898</v>
      </c>
      <c r="G84" s="246"/>
      <c r="H84" s="260"/>
      <c r="I84" s="540"/>
      <c r="J84" s="540"/>
      <c r="K84" s="540"/>
      <c r="L84" s="540"/>
      <c r="M84" s="540"/>
      <c r="N84" s="540"/>
      <c r="O84" s="1"/>
      <c r="P84" s="1"/>
      <c r="Q84" s="1"/>
      <c r="R84" s="1"/>
      <c r="S84" s="1"/>
      <c r="T84" s="1"/>
      <c r="U84" s="1"/>
    </row>
    <row r="85" spans="2:21">
      <c r="B85" s="1"/>
      <c r="C85" s="1" t="str">
        <f>S123</f>
        <v>Transmission Plant Average Balance for 2018</v>
      </c>
      <c r="D85" s="2"/>
      <c r="F85" s="270">
        <f>+F84/2</f>
        <v>1891411952.9818449</v>
      </c>
      <c r="G85" s="271"/>
      <c r="H85" s="260"/>
      <c r="I85" s="540"/>
      <c r="J85" s="540"/>
      <c r="K85" s="540"/>
      <c r="L85" s="540"/>
      <c r="M85" s="540"/>
      <c r="N85" s="540"/>
      <c r="O85" s="1"/>
      <c r="P85" s="1"/>
      <c r="Q85" s="1"/>
      <c r="R85" s="1"/>
      <c r="S85" s="1"/>
      <c r="T85" s="1"/>
      <c r="U85" s="1"/>
    </row>
    <row r="86" spans="2:21">
      <c r="B86" s="1"/>
      <c r="C86" s="201" t="str">
        <f>S124</f>
        <v>Annual Depreciation Expense  (Historic TCOS, ln 259)</v>
      </c>
      <c r="D86" s="2"/>
      <c r="E86" s="1"/>
      <c r="F86" s="270">
        <f>R124</f>
        <v>62698227.324767001</v>
      </c>
      <c r="G86" s="1"/>
      <c r="H86" s="260"/>
      <c r="I86" s="540"/>
      <c r="J86" s="540"/>
      <c r="K86" s="540"/>
      <c r="L86" s="540"/>
      <c r="M86" s="540"/>
      <c r="N86" s="540"/>
      <c r="O86" s="1"/>
      <c r="P86" s="1"/>
      <c r="Q86" s="1"/>
      <c r="R86" s="1"/>
      <c r="S86" s="1"/>
      <c r="T86" s="1"/>
      <c r="U86" s="1"/>
    </row>
    <row r="87" spans="2:21">
      <c r="B87" s="1"/>
      <c r="C87" s="1" t="s">
        <v>39</v>
      </c>
      <c r="D87" s="2"/>
      <c r="E87" s="1"/>
      <c r="F87" s="7">
        <f>F86/F85</f>
        <v>3.3148900865262121E-2</v>
      </c>
      <c r="G87" s="1"/>
      <c r="H87" s="272"/>
      <c r="I87" s="540"/>
      <c r="J87" s="540"/>
      <c r="K87" s="540"/>
      <c r="L87" s="540"/>
      <c r="M87" s="540"/>
      <c r="N87" s="540"/>
      <c r="O87" s="1"/>
      <c r="P87" s="1"/>
      <c r="Q87" s="1"/>
      <c r="R87" s="1"/>
      <c r="S87" s="1"/>
      <c r="T87" s="1"/>
      <c r="U87" s="1"/>
    </row>
    <row r="88" spans="2:21">
      <c r="B88" s="1"/>
      <c r="C88" s="1" t="s">
        <v>40</v>
      </c>
      <c r="D88" s="2"/>
      <c r="E88" s="1"/>
      <c r="F88" s="272">
        <f>IF(F87=0,0,1/F87)</f>
        <v>30.166912745150309</v>
      </c>
      <c r="H88" s="260"/>
      <c r="I88" s="1"/>
      <c r="J88" s="1"/>
      <c r="K88" s="1"/>
      <c r="L88" s="1"/>
      <c r="M88" s="1"/>
      <c r="N88" s="1"/>
      <c r="O88" s="1"/>
      <c r="P88" s="1"/>
      <c r="Q88" s="1"/>
      <c r="R88" s="1"/>
      <c r="S88" s="1"/>
      <c r="T88" s="1"/>
      <c r="U88" s="1"/>
    </row>
    <row r="89" spans="2:21">
      <c r="B89" s="1"/>
      <c r="C89" s="1" t="s">
        <v>41</v>
      </c>
      <c r="D89" s="2"/>
      <c r="E89" s="1"/>
      <c r="F89" s="11">
        <f>ROUND(F88,0)</f>
        <v>30</v>
      </c>
      <c r="G89" s="1"/>
      <c r="H89" s="260"/>
      <c r="I89" s="1"/>
      <c r="J89" s="1"/>
      <c r="K89" s="1"/>
      <c r="L89" s="1"/>
      <c r="M89" s="1"/>
      <c r="N89" s="1"/>
      <c r="O89" s="1"/>
      <c r="P89" s="1"/>
      <c r="Q89" s="1"/>
      <c r="R89" s="1"/>
      <c r="S89" s="1"/>
      <c r="T89" s="1"/>
      <c r="U89" s="1"/>
    </row>
    <row r="90" spans="2:21">
      <c r="C90" s="2"/>
      <c r="D90" s="11"/>
      <c r="E90" s="11"/>
      <c r="F90" s="11"/>
      <c r="G90" s="242"/>
      <c r="H90" s="242"/>
      <c r="I90" s="64"/>
      <c r="J90" s="64"/>
      <c r="K90" s="64"/>
      <c r="L90" s="64"/>
      <c r="M90" s="64"/>
      <c r="N90" s="64"/>
      <c r="O90" s="1"/>
      <c r="P90" s="1"/>
      <c r="Q90" s="1"/>
      <c r="R90" s="1"/>
      <c r="S90" s="1"/>
      <c r="T90" s="1"/>
      <c r="U90" s="1"/>
    </row>
    <row r="91" spans="2:21">
      <c r="C91" s="2"/>
      <c r="D91" s="11"/>
      <c r="E91" s="11"/>
      <c r="F91" s="11"/>
      <c r="G91" s="242"/>
      <c r="H91" s="242"/>
      <c r="I91" s="64"/>
      <c r="J91" s="64"/>
      <c r="K91" s="64"/>
      <c r="L91" s="64"/>
      <c r="M91" s="64"/>
      <c r="N91" s="64"/>
      <c r="O91" s="1"/>
      <c r="P91" s="1"/>
      <c r="Q91" s="1"/>
      <c r="R91" s="1"/>
      <c r="S91" s="1"/>
      <c r="T91" s="1"/>
      <c r="U91" s="1"/>
    </row>
    <row r="92" spans="2:21">
      <c r="P92" s="1"/>
      <c r="Q92" s="1"/>
      <c r="R92" s="1"/>
      <c r="S92" s="1"/>
      <c r="T92" s="1"/>
      <c r="U92" s="1"/>
    </row>
    <row r="93" spans="2:21">
      <c r="P93" s="1"/>
      <c r="Q93" s="1"/>
      <c r="R93" s="273" t="s">
        <v>111</v>
      </c>
      <c r="S93" t="s">
        <v>112</v>
      </c>
      <c r="U93" s="1"/>
    </row>
    <row r="94" spans="2:21">
      <c r="P94" s="1"/>
      <c r="Q94" s="1"/>
      <c r="U94" s="1"/>
    </row>
    <row r="95" spans="2:21">
      <c r="C95" s="90" t="s">
        <v>108</v>
      </c>
      <c r="L95" s="90" t="s">
        <v>107</v>
      </c>
      <c r="P95" s="1"/>
      <c r="Q95" s="1"/>
      <c r="U95" s="1"/>
    </row>
    <row r="96" spans="2:21">
      <c r="P96" s="1"/>
      <c r="Q96" s="1"/>
      <c r="R96" s="273" t="s">
        <v>102</v>
      </c>
      <c r="S96" s="274" t="s">
        <v>250</v>
      </c>
      <c r="U96" s="1"/>
    </row>
    <row r="97" spans="16:21">
      <c r="P97" s="1"/>
      <c r="Q97" s="1"/>
      <c r="R97" s="273"/>
      <c r="S97" s="171" t="s">
        <v>106</v>
      </c>
      <c r="U97" s="1"/>
    </row>
    <row r="98" spans="16:21" ht="13.5" thickBot="1">
      <c r="P98" s="1"/>
      <c r="Q98" s="1"/>
      <c r="R98" s="275" t="s">
        <v>184</v>
      </c>
      <c r="U98" s="1"/>
    </row>
    <row r="99" spans="16:21">
      <c r="P99" s="1"/>
      <c r="Q99" s="1"/>
      <c r="R99" s="276" t="s">
        <v>126</v>
      </c>
      <c r="S99" s="277" t="s">
        <v>127</v>
      </c>
      <c r="U99" s="1"/>
    </row>
    <row r="100" spans="16:21">
      <c r="P100" s="1"/>
      <c r="Q100" s="1"/>
      <c r="R100" s="278">
        <v>2025</v>
      </c>
      <c r="S100" s="279" t="s">
        <v>286</v>
      </c>
      <c r="T100" s="1"/>
      <c r="U100" s="1"/>
    </row>
    <row r="101" spans="16:21">
      <c r="P101" s="1"/>
      <c r="Q101" s="1"/>
      <c r="R101" s="280">
        <v>0.105</v>
      </c>
      <c r="S101" s="279" t="s">
        <v>271</v>
      </c>
      <c r="T101" s="1"/>
      <c r="U101" s="1"/>
    </row>
    <row r="102" spans="16:21">
      <c r="P102" s="1"/>
      <c r="Q102" s="1"/>
      <c r="R102" s="281">
        <v>0</v>
      </c>
      <c r="S102" s="279" t="s">
        <v>1</v>
      </c>
      <c r="T102" s="1"/>
      <c r="U102" s="1"/>
    </row>
    <row r="103" spans="16:21">
      <c r="P103" s="1"/>
      <c r="Q103" s="1"/>
      <c r="R103" s="282">
        <v>0.44517452205303232</v>
      </c>
      <c r="S103" s="283" t="s">
        <v>97</v>
      </c>
      <c r="T103" s="1"/>
      <c r="U103" s="1"/>
    </row>
    <row r="104" spans="16:21">
      <c r="P104" s="1"/>
      <c r="Q104" s="1"/>
      <c r="R104" s="282">
        <v>4.4990703828130627E-2</v>
      </c>
      <c r="S104" s="283" t="s">
        <v>98</v>
      </c>
      <c r="T104" s="1"/>
      <c r="U104" s="1"/>
    </row>
    <row r="105" spans="16:21">
      <c r="P105" s="1"/>
      <c r="Q105" s="1"/>
      <c r="R105" s="282">
        <v>0</v>
      </c>
      <c r="S105" s="283" t="s">
        <v>99</v>
      </c>
      <c r="T105" s="1"/>
      <c r="U105" s="1"/>
    </row>
    <row r="106" spans="16:21">
      <c r="P106" s="1"/>
      <c r="Q106" s="1"/>
      <c r="R106" s="282">
        <v>0</v>
      </c>
      <c r="S106" s="283" t="s">
        <v>100</v>
      </c>
      <c r="T106" s="1"/>
      <c r="U106" s="1"/>
    </row>
    <row r="107" spans="16:21">
      <c r="P107" s="1"/>
      <c r="Q107" s="1"/>
      <c r="R107" s="282">
        <v>0.55482547794696757</v>
      </c>
      <c r="S107" s="284" t="s">
        <v>101</v>
      </c>
      <c r="T107" s="1"/>
      <c r="U107" s="1"/>
    </row>
    <row r="108" spans="16:21">
      <c r="P108" s="1"/>
      <c r="Q108" s="1"/>
      <c r="R108" s="285">
        <v>1428826212.050138</v>
      </c>
      <c r="S108" s="286" t="s">
        <v>272</v>
      </c>
      <c r="T108" s="1"/>
      <c r="U108" s="1"/>
    </row>
    <row r="109" spans="16:21">
      <c r="P109" s="1"/>
      <c r="Q109" s="1"/>
      <c r="R109" s="287">
        <v>0.24041499999999993</v>
      </c>
      <c r="S109" s="288" t="s">
        <v>273</v>
      </c>
      <c r="T109" s="1"/>
      <c r="U109" s="1"/>
    </row>
    <row r="110" spans="16:21">
      <c r="P110" s="1"/>
      <c r="Q110" s="1"/>
      <c r="R110" s="289">
        <v>0</v>
      </c>
      <c r="S110" s="288" t="s">
        <v>274</v>
      </c>
      <c r="T110" s="1"/>
      <c r="U110" s="1"/>
    </row>
    <row r="111" spans="16:21">
      <c r="P111" s="1"/>
      <c r="Q111" s="1"/>
      <c r="R111" s="289">
        <v>-77760.582943511035</v>
      </c>
      <c r="S111" s="288" t="s">
        <v>275</v>
      </c>
      <c r="T111" s="1"/>
      <c r="U111" s="1"/>
    </row>
    <row r="112" spans="16:21">
      <c r="P112" s="1"/>
      <c r="Q112" s="1"/>
      <c r="R112" s="289">
        <v>371315.49866687733</v>
      </c>
      <c r="S112" s="288" t="s">
        <v>287</v>
      </c>
      <c r="T112" s="1"/>
      <c r="U112" s="1"/>
    </row>
    <row r="113" spans="3:21">
      <c r="C113" s="1"/>
      <c r="D113" s="2"/>
      <c r="E113" s="1"/>
      <c r="F113" s="1"/>
      <c r="G113" s="1"/>
      <c r="H113" s="260"/>
      <c r="I113" s="1"/>
      <c r="J113" s="1"/>
      <c r="K113" s="1"/>
      <c r="L113" s="1"/>
      <c r="M113" s="1"/>
      <c r="P113" s="1"/>
      <c r="Q113" s="1"/>
      <c r="R113" s="289">
        <v>240841056.78061655</v>
      </c>
      <c r="S113" s="288" t="s">
        <v>277</v>
      </c>
      <c r="T113" s="1"/>
      <c r="U113" s="1"/>
    </row>
    <row r="114" spans="3:21">
      <c r="C114" s="1"/>
      <c r="D114" s="2"/>
      <c r="E114" s="1"/>
      <c r="F114" s="1"/>
      <c r="G114" s="1"/>
      <c r="H114" s="260"/>
      <c r="I114" s="1"/>
      <c r="J114" s="1"/>
      <c r="K114" s="1"/>
      <c r="L114" s="1"/>
      <c r="M114" s="1"/>
      <c r="P114" s="1"/>
      <c r="Q114" s="1"/>
      <c r="R114" s="289">
        <v>111856217.62113228</v>
      </c>
      <c r="S114" s="288" t="s">
        <v>278</v>
      </c>
      <c r="T114" s="1"/>
      <c r="U114" s="1"/>
    </row>
    <row r="115" spans="3:21">
      <c r="C115" s="1"/>
      <c r="D115" s="2"/>
      <c r="E115" s="1"/>
      <c r="F115" s="1"/>
      <c r="G115" s="1"/>
      <c r="H115" s="260"/>
      <c r="I115" s="1"/>
      <c r="J115" s="1"/>
      <c r="K115" s="1"/>
      <c r="L115" s="1"/>
      <c r="M115" s="1"/>
      <c r="P115" s="1"/>
      <c r="Q115" s="1"/>
      <c r="R115" s="289">
        <v>26639287.826559827</v>
      </c>
      <c r="S115" s="288" t="s">
        <v>279</v>
      </c>
      <c r="T115" s="1"/>
      <c r="U115" s="1"/>
    </row>
    <row r="116" spans="3:21">
      <c r="C116" s="1"/>
      <c r="D116" s="2"/>
      <c r="E116" s="1"/>
      <c r="F116" s="1"/>
      <c r="G116" s="1"/>
      <c r="H116" s="260"/>
      <c r="I116" s="1"/>
      <c r="J116" s="1"/>
      <c r="K116" s="1"/>
      <c r="L116" s="1"/>
      <c r="M116" s="1"/>
      <c r="P116" s="1"/>
      <c r="Q116" s="1"/>
      <c r="R116" s="289">
        <v>0</v>
      </c>
      <c r="S116" s="288" t="s">
        <v>280</v>
      </c>
      <c r="T116" s="1"/>
      <c r="U116" s="1"/>
    </row>
    <row r="117" spans="3:21">
      <c r="C117" s="1"/>
      <c r="D117" s="2"/>
      <c r="E117" s="1"/>
      <c r="F117" s="1"/>
      <c r="G117" s="1"/>
      <c r="H117" s="260"/>
      <c r="I117" s="1"/>
      <c r="J117" s="1"/>
      <c r="K117" s="1"/>
      <c r="L117" s="1"/>
      <c r="M117" s="1"/>
      <c r="P117" s="1"/>
      <c r="Q117" s="1"/>
      <c r="R117" s="289">
        <v>62698227.324767001</v>
      </c>
      <c r="S117" s="288" t="s">
        <v>281</v>
      </c>
      <c r="T117" s="1"/>
      <c r="U117" s="1"/>
    </row>
    <row r="118" spans="3:21">
      <c r="C118" s="1"/>
      <c r="D118" s="2"/>
      <c r="E118" s="1"/>
      <c r="F118" s="1"/>
      <c r="G118" s="1"/>
      <c r="H118" s="260"/>
      <c r="I118" s="1"/>
      <c r="J118" s="1"/>
      <c r="K118" s="1"/>
      <c r="L118" s="1"/>
      <c r="M118" s="1"/>
      <c r="P118" s="1"/>
      <c r="Q118" s="1"/>
      <c r="R118" s="287">
        <v>0</v>
      </c>
      <c r="S118" s="288" t="s">
        <v>104</v>
      </c>
      <c r="T118" s="1"/>
      <c r="U118" s="1"/>
    </row>
    <row r="119" spans="3:21">
      <c r="C119" s="1"/>
      <c r="D119" s="2"/>
      <c r="E119" s="1"/>
      <c r="F119" s="1"/>
      <c r="G119" s="1"/>
      <c r="H119" s="260"/>
      <c r="I119" s="1"/>
      <c r="J119" s="1"/>
      <c r="K119" s="1"/>
      <c r="L119" s="1"/>
      <c r="M119" s="1"/>
      <c r="P119" s="1"/>
      <c r="Q119" s="1"/>
      <c r="R119" s="289">
        <v>1556513258.6847558</v>
      </c>
      <c r="S119" s="288" t="s">
        <v>282</v>
      </c>
      <c r="T119" s="1"/>
      <c r="U119" s="1"/>
    </row>
    <row r="120" spans="3:21">
      <c r="C120" s="1"/>
      <c r="D120" s="2"/>
      <c r="E120" s="1"/>
      <c r="F120" s="1"/>
      <c r="G120" s="1"/>
      <c r="H120" s="260"/>
      <c r="I120" s="1"/>
      <c r="J120" s="1"/>
      <c r="K120" s="1"/>
      <c r="L120" s="1"/>
      <c r="M120" s="1"/>
      <c r="P120" s="1"/>
      <c r="Q120" s="1"/>
      <c r="R120" s="287">
        <v>0.11444992740144029</v>
      </c>
      <c r="S120" s="290" t="s">
        <v>283</v>
      </c>
      <c r="T120" s="1"/>
      <c r="U120" s="1"/>
    </row>
    <row r="121" spans="3:21">
      <c r="C121" s="1"/>
      <c r="D121" s="2"/>
      <c r="E121" s="1"/>
      <c r="F121" s="1"/>
      <c r="G121" s="1"/>
      <c r="H121" s="260"/>
      <c r="I121" s="1"/>
      <c r="J121" s="1"/>
      <c r="K121" s="1"/>
      <c r="L121" s="1"/>
      <c r="M121" s="1"/>
      <c r="P121" s="1"/>
      <c r="Q121" s="1"/>
      <c r="R121" s="291">
        <v>1776993795.7780001</v>
      </c>
      <c r="S121" s="283" t="s">
        <v>37</v>
      </c>
      <c r="T121" s="1"/>
      <c r="U121" s="1"/>
    </row>
    <row r="122" spans="3:21">
      <c r="C122" s="1"/>
      <c r="D122" s="2"/>
      <c r="E122" s="1"/>
      <c r="F122" s="1"/>
      <c r="G122" s="1"/>
      <c r="H122" s="260"/>
      <c r="I122" s="1"/>
      <c r="J122" s="1"/>
      <c r="K122" s="1"/>
      <c r="L122" s="1"/>
      <c r="M122" s="1"/>
      <c r="P122" s="1"/>
      <c r="Q122" s="1"/>
      <c r="R122" s="292">
        <v>2005830110.1856899</v>
      </c>
      <c r="S122" s="284" t="s">
        <v>38</v>
      </c>
      <c r="T122" s="1"/>
      <c r="U122" s="1"/>
    </row>
    <row r="123" spans="3:21">
      <c r="C123" s="1"/>
      <c r="D123" s="2"/>
      <c r="E123" s="1"/>
      <c r="F123" s="1"/>
      <c r="G123" s="1"/>
      <c r="H123" s="260"/>
      <c r="I123" s="1"/>
      <c r="J123" s="1"/>
      <c r="K123" s="1"/>
      <c r="L123" s="1"/>
      <c r="M123" s="1"/>
      <c r="N123" s="1"/>
      <c r="P123" s="1"/>
      <c r="Q123" s="1"/>
      <c r="R123" s="292">
        <v>1891055924.8382545</v>
      </c>
      <c r="S123" s="293" t="s">
        <v>285</v>
      </c>
      <c r="T123" s="2"/>
      <c r="U123" s="1"/>
    </row>
    <row r="124" spans="3:21" ht="13.5" thickBot="1">
      <c r="C124" s="1"/>
      <c r="D124" s="2"/>
      <c r="E124" s="1"/>
      <c r="F124" s="1"/>
      <c r="G124" s="1"/>
      <c r="H124" s="260"/>
      <c r="I124" s="1"/>
      <c r="J124" s="1"/>
      <c r="K124" s="1"/>
      <c r="L124" s="1"/>
      <c r="M124" s="1"/>
      <c r="N124" s="1"/>
      <c r="P124" s="1"/>
      <c r="Q124" s="1"/>
      <c r="R124" s="294">
        <v>62698227.324767001</v>
      </c>
      <c r="S124" s="295" t="s">
        <v>258</v>
      </c>
      <c r="T124" s="1"/>
      <c r="U124" s="1"/>
    </row>
    <row r="125" spans="3:21">
      <c r="C125" s="1"/>
      <c r="D125" s="2"/>
      <c r="E125" s="1"/>
      <c r="F125" s="1"/>
      <c r="G125" s="1"/>
      <c r="H125" s="260"/>
      <c r="I125" s="1"/>
      <c r="J125" s="1"/>
      <c r="K125" s="1"/>
      <c r="L125" s="1"/>
      <c r="M125" s="1"/>
      <c r="N125" s="1"/>
      <c r="P125" s="1"/>
      <c r="Q125" s="1"/>
      <c r="R125" s="1"/>
      <c r="S125" s="1"/>
      <c r="T125" s="1"/>
      <c r="U125" s="1"/>
    </row>
    <row r="126" spans="3:21">
      <c r="C126" s="1"/>
      <c r="D126" s="2"/>
      <c r="E126" s="1"/>
      <c r="F126" s="1"/>
      <c r="G126" s="1"/>
      <c r="H126" s="260"/>
      <c r="I126" s="1"/>
      <c r="J126" s="1"/>
      <c r="K126" s="1"/>
      <c r="L126" s="1"/>
      <c r="M126" s="1"/>
      <c r="N126" s="1"/>
      <c r="P126" s="1"/>
      <c r="Q126" s="1"/>
      <c r="R126" s="273" t="s">
        <v>103</v>
      </c>
      <c r="S126" s="1" t="s">
        <v>115</v>
      </c>
      <c r="T126" s="296"/>
      <c r="U126" s="271"/>
    </row>
    <row r="127" spans="3:21" ht="13.5" thickBot="1">
      <c r="C127" s="1"/>
      <c r="D127" s="2"/>
      <c r="E127" s="1"/>
      <c r="F127" s="1"/>
      <c r="G127" s="1"/>
      <c r="H127" s="258"/>
      <c r="I127" s="1"/>
      <c r="J127" s="1"/>
      <c r="K127" s="1"/>
      <c r="L127" s="1"/>
      <c r="M127" s="1"/>
      <c r="N127" s="1"/>
      <c r="P127" s="1"/>
      <c r="Q127" s="1"/>
      <c r="R127" s="275" t="s">
        <v>185</v>
      </c>
      <c r="S127" s="1"/>
      <c r="T127" s="296"/>
      <c r="U127" s="271"/>
    </row>
    <row r="128" spans="3:21">
      <c r="C128" s="1"/>
      <c r="D128" s="2"/>
      <c r="E128" s="1"/>
      <c r="F128" s="1"/>
      <c r="G128" s="1"/>
      <c r="H128" s="258"/>
      <c r="I128" s="1"/>
      <c r="J128" s="1"/>
      <c r="K128" s="1"/>
      <c r="L128" s="1"/>
      <c r="M128" s="1"/>
      <c r="N128" s="1"/>
      <c r="P128" s="1"/>
      <c r="Q128" s="1"/>
      <c r="R128" s="297">
        <f>+M19</f>
        <v>40965038.490873612</v>
      </c>
      <c r="S128" s="1" t="str">
        <f>+K19&amp;" "&amp;M17</f>
        <v>PROJECTED YEAR Rev Require</v>
      </c>
      <c r="T128" s="296"/>
      <c r="U128" s="271"/>
    </row>
    <row r="129" spans="3:21">
      <c r="C129" s="1"/>
      <c r="D129" s="2"/>
      <c r="E129" s="1"/>
      <c r="F129" s="1"/>
      <c r="G129" s="1"/>
      <c r="H129" s="258"/>
      <c r="I129" s="1"/>
      <c r="J129" s="1"/>
      <c r="K129" s="1"/>
      <c r="L129" s="1"/>
      <c r="M129" s="1"/>
      <c r="N129" s="1"/>
      <c r="O129" s="1"/>
      <c r="P129" s="1"/>
      <c r="Q129" s="1"/>
      <c r="R129" s="298">
        <f>+N19</f>
        <v>40965038.490873612</v>
      </c>
      <c r="S129" s="1" t="str">
        <f>K19&amp;" "&amp;N17</f>
        <v>PROJECTED YEAR  W Incentives</v>
      </c>
      <c r="T129" s="1"/>
      <c r="U129" s="1"/>
    </row>
    <row r="130" spans="3:21" ht="13.5" thickBot="1">
      <c r="C130" s="1"/>
      <c r="D130" s="2"/>
      <c r="E130" s="1"/>
      <c r="F130" s="1"/>
      <c r="G130" s="1"/>
      <c r="H130" s="258"/>
      <c r="I130" s="1"/>
      <c r="J130" s="1"/>
      <c r="K130" s="1"/>
      <c r="L130" s="1"/>
      <c r="M130" s="1"/>
      <c r="N130" s="1"/>
      <c r="O130" s="1"/>
      <c r="P130" s="1"/>
      <c r="Q130" s="1"/>
      <c r="R130" s="299">
        <f>+O19</f>
        <v>0</v>
      </c>
      <c r="S130" s="1" t="str">
        <f>K19&amp;" "&amp;O17</f>
        <v>PROJECTED YEAR Incentive Amounts</v>
      </c>
      <c r="T130" s="1"/>
      <c r="U130" s="1"/>
    </row>
    <row r="131" spans="3:21">
      <c r="C131" s="1"/>
      <c r="D131" s="2"/>
      <c r="E131" s="1"/>
      <c r="F131" s="1"/>
      <c r="G131" s="1"/>
      <c r="H131" s="258"/>
      <c r="I131" s="1"/>
      <c r="J131" s="1"/>
      <c r="K131" s="1"/>
      <c r="L131" s="1"/>
      <c r="M131" s="1"/>
      <c r="N131" s="1"/>
      <c r="O131" s="1"/>
      <c r="P131" s="1"/>
      <c r="Q131" s="1"/>
      <c r="R131" s="1"/>
      <c r="S131" s="1"/>
      <c r="T131" s="1"/>
      <c r="U131" s="1"/>
    </row>
    <row r="132" spans="3:21" ht="12.75" customHeight="1">
      <c r="R132" s="1"/>
      <c r="S132" s="1"/>
    </row>
    <row r="133" spans="3:21" ht="12.75" customHeight="1">
      <c r="R133" s="273" t="s">
        <v>113</v>
      </c>
      <c r="S133" s="274" t="s">
        <v>114</v>
      </c>
    </row>
  </sheetData>
  <mergeCells count="9">
    <mergeCell ref="I82:N87"/>
    <mergeCell ref="K15:O16"/>
    <mergeCell ref="C8:H8"/>
    <mergeCell ref="C79:E80"/>
    <mergeCell ref="A1:J1"/>
    <mergeCell ref="A3:J3"/>
    <mergeCell ref="A5:J5"/>
    <mergeCell ref="A4:K4"/>
    <mergeCell ref="A2:J2"/>
  </mergeCells>
  <phoneticPr fontId="0" type="noConversion"/>
  <printOptions horizontalCentered="1"/>
  <pageMargins left="0.25" right="0.25" top="0.75" bottom="0.25" header="0.25" footer="0.5"/>
  <pageSetup scale="41" fitToHeight="2" orientation="landscape" horizontalDpi="1200" verticalDpi="1200" r:id="rId1"/>
  <headerFooter alignWithMargins="0">
    <oddHeader xml:space="preserve">&amp;R&amp;16AEPTCo - SPP Formula Rate
&amp;A TCOS - WS F
Page: &amp;P of &amp;N
</oddHeader>
    <oddFooter xml:space="preserve">&amp;C &amp;R </oddFooter>
  </headerFooter>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68"/>
  <dimension ref="A1:P163"/>
  <sheetViews>
    <sheetView topLeftCell="A60" zoomScale="85" zoomScaleNormal="85" workbookViewId="0">
      <selection activeCell="D94" sqref="D94"/>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9.140625" customWidth="1"/>
    <col min="23" max="23" width="9.140625" customWidth="1"/>
  </cols>
  <sheetData>
    <row r="1" spans="1:16" ht="20.25">
      <c r="A1" s="93" t="s">
        <v>189</v>
      </c>
      <c r="B1" s="1"/>
      <c r="C1" s="1"/>
      <c r="D1" s="2"/>
      <c r="E1" s="1"/>
      <c r="F1" s="7"/>
      <c r="G1" s="1"/>
      <c r="H1" s="260"/>
      <c r="K1" s="12"/>
      <c r="L1" s="12"/>
      <c r="M1" s="12"/>
      <c r="P1" s="98" t="str">
        <f ca="1">"OKT Project "&amp;RIGHT(MID(CELL("filename",$A$1),FIND("]",CELL("filename",$A$1))+1,256),2)&amp;" of "&amp;COUNT('OKT.001:OKT.xyz - blank'!$P$3)-1</f>
        <v>OKT Project 17 of 26</v>
      </c>
    </row>
    <row r="2" spans="1:16" ht="18">
      <c r="B2" s="1"/>
      <c r="C2" s="1"/>
      <c r="D2" s="2"/>
      <c r="E2" s="1"/>
      <c r="F2" s="1"/>
      <c r="G2" s="1"/>
      <c r="H2" s="260"/>
      <c r="I2" s="1"/>
      <c r="J2" s="1"/>
      <c r="K2" s="1"/>
      <c r="L2" s="1"/>
      <c r="M2" s="1"/>
      <c r="N2" s="1"/>
      <c r="P2" s="99" t="s">
        <v>131</v>
      </c>
    </row>
    <row r="3" spans="1:16" ht="18.75">
      <c r="B3" s="4" t="s">
        <v>42</v>
      </c>
      <c r="C3" s="9" t="s">
        <v>43</v>
      </c>
      <c r="D3" s="2"/>
      <c r="E3" s="1"/>
      <c r="F3" s="1"/>
      <c r="G3" s="1"/>
      <c r="H3" s="260"/>
      <c r="I3" s="260"/>
      <c r="J3" s="242"/>
      <c r="K3" s="260"/>
      <c r="L3" s="260"/>
      <c r="M3" s="260"/>
      <c r="N3" s="260"/>
      <c r="O3" s="1"/>
      <c r="P3" s="91">
        <v>1</v>
      </c>
    </row>
    <row r="4" spans="1:16" ht="15.75" thickBot="1">
      <c r="C4" s="250"/>
      <c r="D4" s="2"/>
      <c r="E4" s="1"/>
      <c r="F4" s="1"/>
      <c r="G4" s="1"/>
      <c r="H4" s="260"/>
      <c r="I4" s="260"/>
      <c r="J4" s="242"/>
      <c r="K4" s="260"/>
      <c r="L4" s="260"/>
      <c r="M4" s="260"/>
      <c r="N4" s="260"/>
      <c r="O4" s="1"/>
      <c r="P4" s="1"/>
    </row>
    <row r="5" spans="1:16" ht="15">
      <c r="C5" s="14" t="s">
        <v>44</v>
      </c>
      <c r="D5" s="2"/>
      <c r="E5" s="1"/>
      <c r="F5" s="1"/>
      <c r="G5" s="349"/>
      <c r="H5" s="1" t="s">
        <v>45</v>
      </c>
      <c r="I5" s="1"/>
      <c r="J5" s="1"/>
      <c r="K5" s="16" t="s">
        <v>242</v>
      </c>
      <c r="L5" s="17"/>
      <c r="M5" s="18"/>
      <c r="N5" s="350">
        <f>VLOOKUP(I10,C17:I73,5)</f>
        <v>10774534.40747739</v>
      </c>
      <c r="P5" s="1"/>
    </row>
    <row r="6" spans="1:16" ht="15.75">
      <c r="C6" s="6"/>
      <c r="D6" s="2"/>
      <c r="E6" s="1"/>
      <c r="F6" s="1"/>
      <c r="G6" s="1"/>
      <c r="H6" s="351"/>
      <c r="I6" s="351"/>
      <c r="J6" s="352"/>
      <c r="K6" s="22" t="s">
        <v>243</v>
      </c>
      <c r="L6" s="353"/>
      <c r="M6" s="1"/>
      <c r="N6" s="354">
        <f>VLOOKUP(I10,C17:I73,6)</f>
        <v>10774534.40747739</v>
      </c>
      <c r="O6" s="1"/>
      <c r="P6" s="1"/>
    </row>
    <row r="7" spans="1:16" ht="13.5" thickBot="1">
      <c r="C7" s="25" t="s">
        <v>46</v>
      </c>
      <c r="D7" s="87" t="s">
        <v>247</v>
      </c>
      <c r="E7" s="1"/>
      <c r="F7" s="1"/>
      <c r="G7" s="1"/>
      <c r="H7" s="260"/>
      <c r="I7" s="260"/>
      <c r="J7" s="242"/>
      <c r="K7" s="355" t="s">
        <v>47</v>
      </c>
      <c r="L7" s="356"/>
      <c r="M7" s="356"/>
      <c r="N7" s="357">
        <f>+N6-N5</f>
        <v>0</v>
      </c>
      <c r="O7" s="1"/>
      <c r="P7" s="1"/>
    </row>
    <row r="8" spans="1:16" ht="13.5" thickBot="1">
      <c r="C8" s="29"/>
      <c r="D8" s="83" t="str">
        <f>IF(D10&lt;100000,"DOES NOT MEET SPP $100,000 MINIMUM INVESTMENT FOR REGIONAL BPU SHARING.","")</f>
        <v/>
      </c>
      <c r="E8" s="10"/>
      <c r="F8" s="10"/>
      <c r="G8" s="10"/>
      <c r="H8" s="10"/>
      <c r="I8" s="10"/>
      <c r="J8" s="10"/>
      <c r="K8" s="10"/>
      <c r="L8" s="10"/>
      <c r="M8" s="10"/>
      <c r="N8" s="10"/>
      <c r="O8" s="10"/>
      <c r="P8" s="1"/>
    </row>
    <row r="9" spans="1:16" ht="13.5" thickBot="1">
      <c r="C9" s="30" t="s">
        <v>48</v>
      </c>
      <c r="D9" s="89" t="s">
        <v>263</v>
      </c>
      <c r="E9" s="31" t="s">
        <v>310</v>
      </c>
      <c r="F9" s="526">
        <v>30361</v>
      </c>
      <c r="G9" s="31"/>
      <c r="H9" s="31"/>
      <c r="I9" s="32"/>
      <c r="J9" s="33"/>
      <c r="P9" s="1"/>
    </row>
    <row r="10" spans="1:16">
      <c r="C10" s="34" t="s">
        <v>49</v>
      </c>
      <c r="D10" s="358">
        <v>88160625.260000005</v>
      </c>
      <c r="E10" s="1" t="s">
        <v>50</v>
      </c>
      <c r="G10" s="2"/>
      <c r="H10" s="2"/>
      <c r="I10" s="36">
        <f>+'OKT.WS.F.BPU.ATRR.Projected'!R100</f>
        <v>2025</v>
      </c>
      <c r="J10" s="33"/>
      <c r="K10" s="242" t="s">
        <v>51</v>
      </c>
      <c r="O10" s="1"/>
      <c r="P10" s="1"/>
    </row>
    <row r="11" spans="1:16">
      <c r="C11" s="34" t="s">
        <v>52</v>
      </c>
      <c r="D11" s="37">
        <v>2017</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8">
        <v>12</v>
      </c>
      <c r="E12" s="34" t="s">
        <v>55</v>
      </c>
      <c r="F12" s="2"/>
      <c r="I12" s="40">
        <f>'OKT.WS.F.BPU.ATRR.Projected'!$F$78</f>
        <v>0.11444992740144029</v>
      </c>
      <c r="J12" s="7"/>
      <c r="K12" t="s">
        <v>56</v>
      </c>
      <c r="O12" s="1"/>
      <c r="P12" s="1"/>
    </row>
    <row r="13" spans="1:16">
      <c r="C13" s="34" t="s">
        <v>57</v>
      </c>
      <c r="D13" s="38">
        <f>+'OKT.WS.F.BPU.ATRR.Projected'!F$89</f>
        <v>30</v>
      </c>
      <c r="E13" s="34" t="s">
        <v>58</v>
      </c>
      <c r="F13" s="2"/>
      <c r="I13" s="40">
        <f>IF(G5="",I12,'OKT.WS.F.BPU.ATRR.Projected'!$F$77)</f>
        <v>0.11444992740144029</v>
      </c>
      <c r="J13" s="7"/>
      <c r="K13" s="242" t="s">
        <v>59</v>
      </c>
      <c r="L13" s="7"/>
      <c r="M13" s="7"/>
      <c r="N13" s="7"/>
      <c r="O13" s="1"/>
      <c r="P13" s="1"/>
    </row>
    <row r="14" spans="1:16" ht="13.5" thickBot="1">
      <c r="C14" s="34" t="s">
        <v>60</v>
      </c>
      <c r="D14" s="37" t="s">
        <v>61</v>
      </c>
      <c r="E14" s="1" t="s">
        <v>62</v>
      </c>
      <c r="F14" s="2"/>
      <c r="I14" s="359">
        <f>IF(D10=0,0,D10/D13)</f>
        <v>2938687.5086666667</v>
      </c>
      <c r="J14" s="242"/>
      <c r="K14" s="242"/>
      <c r="L14" s="242"/>
      <c r="M14" s="242"/>
      <c r="N14" s="242"/>
      <c r="O14" s="1"/>
      <c r="P14" s="1"/>
    </row>
    <row r="15" spans="1:16"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row>
    <row r="16" spans="1:16"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row>
    <row r="17" spans="2:16">
      <c r="B17" t="str">
        <f t="shared" ref="B17:B71" si="0">IF(D17=F16,"","IU")</f>
        <v>IU</v>
      </c>
      <c r="C17" s="49">
        <f>IF(D11= "","-",D11)</f>
        <v>2017</v>
      </c>
      <c r="D17" s="433">
        <v>0</v>
      </c>
      <c r="E17" s="440">
        <v>0</v>
      </c>
      <c r="F17" s="433">
        <v>82823000</v>
      </c>
      <c r="G17" s="440">
        <v>4552779.1652027937</v>
      </c>
      <c r="H17" s="438">
        <v>4552779.1652027937</v>
      </c>
      <c r="I17" s="51">
        <f t="shared" ref="I17:I71" si="1">H17-G17</f>
        <v>0</v>
      </c>
      <c r="J17" s="51"/>
      <c r="K17" s="114">
        <f t="shared" ref="K17:K22" si="2">+G17</f>
        <v>4552779.1652027937</v>
      </c>
      <c r="L17" s="52">
        <f t="shared" ref="L17:L71" si="3">IF(K17&lt;&gt;0,+G17-K17,0)</f>
        <v>0</v>
      </c>
      <c r="M17" s="114">
        <f t="shared" ref="M17:M22" si="4">+H17</f>
        <v>4552779.1652027937</v>
      </c>
      <c r="N17" s="52">
        <f t="shared" ref="N17:N71" si="5">IF(M17&lt;&gt;0,+H17-M17,0)</f>
        <v>0</v>
      </c>
      <c r="O17" s="53">
        <f t="shared" ref="O17:O71" si="6">+N17-L17</f>
        <v>0</v>
      </c>
      <c r="P17" s="1"/>
    </row>
    <row r="18" spans="2:16">
      <c r="B18" t="str">
        <f t="shared" si="0"/>
        <v/>
      </c>
      <c r="C18" s="49">
        <f>IF(D11="","-",+C17+1)</f>
        <v>2018</v>
      </c>
      <c r="D18" s="435">
        <v>82823000</v>
      </c>
      <c r="E18" s="434">
        <v>2031199.4497102054</v>
      </c>
      <c r="F18" s="435">
        <v>80791800.550289795</v>
      </c>
      <c r="G18" s="434">
        <v>10344766.031909464</v>
      </c>
      <c r="H18" s="438">
        <v>10344766.031909464</v>
      </c>
      <c r="I18" s="51">
        <f t="shared" si="1"/>
        <v>0</v>
      </c>
      <c r="J18" s="51"/>
      <c r="K18" s="419">
        <f t="shared" si="2"/>
        <v>10344766.031909464</v>
      </c>
      <c r="L18" s="422">
        <f t="shared" si="3"/>
        <v>0</v>
      </c>
      <c r="M18" s="419">
        <f t="shared" si="4"/>
        <v>10344766.031909464</v>
      </c>
      <c r="N18" s="53">
        <f t="shared" si="5"/>
        <v>0</v>
      </c>
      <c r="O18" s="53">
        <f t="shared" si="6"/>
        <v>0</v>
      </c>
      <c r="P18" s="1"/>
    </row>
    <row r="19" spans="2:16">
      <c r="B19" t="str">
        <f t="shared" si="0"/>
        <v/>
      </c>
      <c r="C19" s="49">
        <f>IF(D11="","-",+C18+1)</f>
        <v>2019</v>
      </c>
      <c r="D19" s="435">
        <v>80791800.550289795</v>
      </c>
      <c r="E19" s="434">
        <v>2456434.6786346282</v>
      </c>
      <c r="F19" s="435">
        <v>78335365.871655166</v>
      </c>
      <c r="G19" s="434">
        <v>10725952.439931182</v>
      </c>
      <c r="H19" s="438">
        <v>10725952.439931182</v>
      </c>
      <c r="I19" s="51">
        <f t="shared" si="1"/>
        <v>0</v>
      </c>
      <c r="J19" s="51"/>
      <c r="K19" s="419">
        <f t="shared" si="2"/>
        <v>10725952.439931182</v>
      </c>
      <c r="L19" s="422">
        <f t="shared" ref="L19" si="7">IF(K19&lt;&gt;0,+G19-K19,0)</f>
        <v>0</v>
      </c>
      <c r="M19" s="419">
        <f t="shared" si="4"/>
        <v>10725952.439931182</v>
      </c>
      <c r="N19" s="53">
        <f t="shared" ref="N19" si="8">IF(M19&lt;&gt;0,+H19-M19,0)</f>
        <v>0</v>
      </c>
      <c r="O19" s="53">
        <f t="shared" ref="O19" si="9">+N19-L19</f>
        <v>0</v>
      </c>
      <c r="P19" s="1"/>
    </row>
    <row r="20" spans="2:16">
      <c r="B20" t="str">
        <f t="shared" si="0"/>
        <v>IU</v>
      </c>
      <c r="C20" s="49">
        <f>IF(D11="","-",+C19+1)</f>
        <v>2020</v>
      </c>
      <c r="D20" s="435">
        <v>84194797.10057959</v>
      </c>
      <c r="E20" s="434">
        <v>2584327.8381604804</v>
      </c>
      <c r="F20" s="435">
        <v>81610469.262419105</v>
      </c>
      <c r="G20" s="434">
        <v>11283505.602105767</v>
      </c>
      <c r="H20" s="438">
        <v>11283505.602105767</v>
      </c>
      <c r="I20" s="51">
        <f t="shared" si="1"/>
        <v>0</v>
      </c>
      <c r="J20" s="51"/>
      <c r="K20" s="419">
        <f t="shared" si="2"/>
        <v>11283505.602105767</v>
      </c>
      <c r="L20" s="422">
        <f t="shared" ref="L20" si="10">IF(K20&lt;&gt;0,+G20-K20,0)</f>
        <v>0</v>
      </c>
      <c r="M20" s="419">
        <f t="shared" si="4"/>
        <v>11283505.602105767</v>
      </c>
      <c r="N20" s="53">
        <f t="shared" si="5"/>
        <v>0</v>
      </c>
      <c r="O20" s="53">
        <f t="shared" si="6"/>
        <v>0</v>
      </c>
      <c r="P20" s="1"/>
    </row>
    <row r="21" spans="2:16">
      <c r="B21" t="str">
        <f t="shared" si="0"/>
        <v>IU</v>
      </c>
      <c r="C21" s="49">
        <f>IF(D11="","-",+C20+1)</f>
        <v>2021</v>
      </c>
      <c r="D21" s="435">
        <v>80497433.033494681</v>
      </c>
      <c r="E21" s="434">
        <v>2824819.1935483869</v>
      </c>
      <c r="F21" s="435">
        <v>77672613.8399463</v>
      </c>
      <c r="G21" s="434">
        <v>11380637.767430846</v>
      </c>
      <c r="H21" s="438">
        <v>11380637.767430846</v>
      </c>
      <c r="I21" s="51">
        <f t="shared" si="1"/>
        <v>0</v>
      </c>
      <c r="J21" s="51"/>
      <c r="K21" s="419">
        <f t="shared" si="2"/>
        <v>11380637.767430846</v>
      </c>
      <c r="L21" s="422">
        <f t="shared" ref="L21" si="11">IF(K21&lt;&gt;0,+G21-K21,0)</f>
        <v>0</v>
      </c>
      <c r="M21" s="419">
        <f t="shared" si="4"/>
        <v>11380637.767430846</v>
      </c>
      <c r="N21" s="53">
        <f t="shared" si="5"/>
        <v>0</v>
      </c>
      <c r="O21" s="53">
        <f t="shared" si="6"/>
        <v>0</v>
      </c>
      <c r="P21" s="1"/>
    </row>
    <row r="22" spans="2:16">
      <c r="B22" t="str">
        <f t="shared" si="0"/>
        <v>IU</v>
      </c>
      <c r="C22" s="49">
        <f>IF(D11="","-",+C21+1)</f>
        <v>2022</v>
      </c>
      <c r="D22" s="435">
        <v>77782697.8399463</v>
      </c>
      <c r="E22" s="434">
        <v>2656953.9090909092</v>
      </c>
      <c r="F22" s="435">
        <v>75125743.930855393</v>
      </c>
      <c r="G22" s="434">
        <v>11430746.557201277</v>
      </c>
      <c r="H22" s="438">
        <v>11430746.557201277</v>
      </c>
      <c r="I22" s="51">
        <f t="shared" si="1"/>
        <v>0</v>
      </c>
      <c r="J22" s="51"/>
      <c r="K22" s="419">
        <f t="shared" si="2"/>
        <v>11430746.557201277</v>
      </c>
      <c r="L22" s="422">
        <f t="shared" ref="L22" si="12">IF(K22&lt;&gt;0,+G22-K22,0)</f>
        <v>0</v>
      </c>
      <c r="M22" s="419">
        <f t="shared" si="4"/>
        <v>11430746.557201277</v>
      </c>
      <c r="N22" s="53">
        <f t="shared" si="5"/>
        <v>0</v>
      </c>
      <c r="O22" s="53">
        <f t="shared" si="6"/>
        <v>0</v>
      </c>
      <c r="P22" s="1"/>
    </row>
    <row r="23" spans="2:16">
      <c r="B23" t="str">
        <f t="shared" si="0"/>
        <v>IU</v>
      </c>
      <c r="C23" s="49">
        <f>IF(D11="","-",+C22+1)</f>
        <v>2023</v>
      </c>
      <c r="D23" s="435">
        <v>75125743.920855403</v>
      </c>
      <c r="E23" s="434">
        <v>2828370.2900000005</v>
      </c>
      <c r="F23" s="435">
        <v>72297373.630855396</v>
      </c>
      <c r="G23" s="434">
        <v>11160198.227597371</v>
      </c>
      <c r="H23" s="438">
        <v>11160198.227597371</v>
      </c>
      <c r="I23" s="51">
        <f t="shared" si="1"/>
        <v>0</v>
      </c>
      <c r="J23" s="51"/>
      <c r="K23" s="419">
        <f t="shared" ref="K23" si="13">+G23</f>
        <v>11160198.227597371</v>
      </c>
      <c r="L23" s="422">
        <f t="shared" ref="L23" si="14">IF(K23&lt;&gt;0,+G23-K23,0)</f>
        <v>0</v>
      </c>
      <c r="M23" s="419">
        <f t="shared" ref="M23" si="15">+H23</f>
        <v>11160198.227597371</v>
      </c>
      <c r="N23" s="53">
        <f t="shared" si="5"/>
        <v>0</v>
      </c>
      <c r="O23" s="53">
        <f t="shared" si="6"/>
        <v>0</v>
      </c>
      <c r="P23" s="1"/>
    </row>
    <row r="24" spans="2:16">
      <c r="B24" t="str">
        <f t="shared" si="0"/>
        <v>IU</v>
      </c>
      <c r="C24" s="49">
        <f>IF(D11="","-",+C23+1)</f>
        <v>2024</v>
      </c>
      <c r="D24" s="435">
        <v>72778519.900855392</v>
      </c>
      <c r="E24" s="434">
        <v>2843891.1374193551</v>
      </c>
      <c r="F24" s="435">
        <v>69934628.763436034</v>
      </c>
      <c r="G24" s="434">
        <v>10973662.187251475</v>
      </c>
      <c r="H24" s="438">
        <v>10973662.187251475</v>
      </c>
      <c r="I24" s="51">
        <f t="shared" si="1"/>
        <v>0</v>
      </c>
      <c r="J24" s="51"/>
      <c r="K24" s="419">
        <f t="shared" ref="K24" si="16">+G24</f>
        <v>10973662.187251475</v>
      </c>
      <c r="L24" s="422">
        <f t="shared" ref="L24" si="17">IF(K24&lt;&gt;0,+G24-K24,0)</f>
        <v>0</v>
      </c>
      <c r="M24" s="419">
        <f t="shared" ref="M24" si="18">+H24</f>
        <v>10973662.187251475</v>
      </c>
      <c r="N24" s="53">
        <f t="shared" ref="N24" si="19">IF(M24&lt;&gt;0,+H24-M24,0)</f>
        <v>0</v>
      </c>
      <c r="O24" s="53">
        <f t="shared" ref="O24" si="20">+N24-L24</f>
        <v>0</v>
      </c>
      <c r="P24" s="1"/>
    </row>
    <row r="25" spans="2:16">
      <c r="B25" t="str">
        <f t="shared" si="0"/>
        <v/>
      </c>
      <c r="C25" s="49">
        <f>IF(D11="","-",+C24+1)</f>
        <v>2025</v>
      </c>
      <c r="D25" s="435">
        <v>69934628.763436034</v>
      </c>
      <c r="E25" s="434">
        <v>2938687.5086666667</v>
      </c>
      <c r="F25" s="435">
        <v>66995941.25476937</v>
      </c>
      <c r="G25" s="434">
        <v>10774534.40747739</v>
      </c>
      <c r="H25" s="438">
        <v>10774534.40747739</v>
      </c>
      <c r="I25" s="51">
        <f t="shared" si="1"/>
        <v>0</v>
      </c>
      <c r="J25" s="51"/>
      <c r="K25" s="419">
        <f t="shared" ref="K25" si="21">+G25</f>
        <v>10774534.40747739</v>
      </c>
      <c r="L25" s="422">
        <f t="shared" ref="L25" si="22">IF(K25&lt;&gt;0,+G25-K25,0)</f>
        <v>0</v>
      </c>
      <c r="M25" s="419">
        <f t="shared" ref="M25" si="23">+H25</f>
        <v>10774534.40747739</v>
      </c>
      <c r="N25" s="53">
        <f t="shared" ref="N25" si="24">IF(M25&lt;&gt;0,+H25-M25,0)</f>
        <v>0</v>
      </c>
      <c r="O25" s="53">
        <f t="shared" ref="O25" si="25">+N25-L25</f>
        <v>0</v>
      </c>
      <c r="P25" s="1"/>
    </row>
    <row r="26" spans="2:16">
      <c r="B26" t="str">
        <f t="shared" si="0"/>
        <v/>
      </c>
      <c r="C26" s="49">
        <f>IF(D11="","-",+C25+1)</f>
        <v>2026</v>
      </c>
      <c r="D26" s="54">
        <f>IF(F25+SUM(E$17:E25)=D$10,F25,D$10-SUM(E$17:E25))</f>
        <v>66995941.25476937</v>
      </c>
      <c r="E26" s="377">
        <f t="shared" ref="E26:E49" si="26">IF(+I$14&lt;F25,I$14,D26)</f>
        <v>2938687.5086666667</v>
      </c>
      <c r="F26" s="54">
        <f t="shared" ref="F26:F71" si="27">+D26-E26</f>
        <v>64057253.746102706</v>
      </c>
      <c r="G26" s="378">
        <f t="shared" ref="G26:G71" si="28">(D26+F26)/2*I$12+E26</f>
        <v>10438201.835454971</v>
      </c>
      <c r="H26" s="359">
        <f t="shared" ref="H26:H71" si="29">+(D26+F26)/2*I$13+E26</f>
        <v>10438201.835454971</v>
      </c>
      <c r="I26" s="51">
        <f t="shared" si="1"/>
        <v>0</v>
      </c>
      <c r="J26" s="51"/>
      <c r="K26" s="112"/>
      <c r="L26" s="53">
        <f t="shared" si="3"/>
        <v>0</v>
      </c>
      <c r="M26" s="112"/>
      <c r="N26" s="53">
        <f t="shared" si="5"/>
        <v>0</v>
      </c>
      <c r="O26" s="53">
        <f t="shared" si="6"/>
        <v>0</v>
      </c>
      <c r="P26" s="1"/>
    </row>
    <row r="27" spans="2:16">
      <c r="B27" t="str">
        <f t="shared" si="0"/>
        <v/>
      </c>
      <c r="C27" s="49">
        <f>IF(D11="","-",+C26+1)</f>
        <v>2027</v>
      </c>
      <c r="D27" s="54">
        <f>IF(F26+SUM(E$17:E26)=D$10,F26,D$10-SUM(E$17:E26))</f>
        <v>64057253.746102706</v>
      </c>
      <c r="E27" s="377">
        <f t="shared" si="26"/>
        <v>2938687.5086666667</v>
      </c>
      <c r="F27" s="54">
        <f t="shared" si="27"/>
        <v>61118566.237436041</v>
      </c>
      <c r="G27" s="378">
        <f t="shared" si="28"/>
        <v>10101869.263432551</v>
      </c>
      <c r="H27" s="359">
        <f t="shared" si="29"/>
        <v>10101869.263432551</v>
      </c>
      <c r="I27" s="51">
        <f t="shared" si="1"/>
        <v>0</v>
      </c>
      <c r="J27" s="51"/>
      <c r="K27" s="112"/>
      <c r="L27" s="53">
        <f t="shared" si="3"/>
        <v>0</v>
      </c>
      <c r="M27" s="112"/>
      <c r="N27" s="53">
        <f t="shared" si="5"/>
        <v>0</v>
      </c>
      <c r="O27" s="53">
        <f t="shared" si="6"/>
        <v>0</v>
      </c>
      <c r="P27" s="1"/>
    </row>
    <row r="28" spans="2:16">
      <c r="B28" t="str">
        <f t="shared" si="0"/>
        <v/>
      </c>
      <c r="C28" s="49">
        <f>IF(D11="","-",+C27+1)</f>
        <v>2028</v>
      </c>
      <c r="D28" s="54">
        <f>IF(F27+SUM(E$17:E27)=D$10,F27,D$10-SUM(E$17:E27))</f>
        <v>61118566.237436041</v>
      </c>
      <c r="E28" s="377">
        <f t="shared" si="26"/>
        <v>2938687.5086666667</v>
      </c>
      <c r="F28" s="54">
        <f t="shared" si="27"/>
        <v>58179878.728769377</v>
      </c>
      <c r="G28" s="378">
        <f t="shared" si="28"/>
        <v>9765536.6914101318</v>
      </c>
      <c r="H28" s="359">
        <f t="shared" si="29"/>
        <v>9765536.6914101318</v>
      </c>
      <c r="I28" s="51">
        <f t="shared" si="1"/>
        <v>0</v>
      </c>
      <c r="J28" s="51"/>
      <c r="K28" s="112"/>
      <c r="L28" s="53">
        <f t="shared" si="3"/>
        <v>0</v>
      </c>
      <c r="M28" s="112"/>
      <c r="N28" s="53">
        <f t="shared" si="5"/>
        <v>0</v>
      </c>
      <c r="O28" s="53">
        <f t="shared" si="6"/>
        <v>0</v>
      </c>
      <c r="P28" s="1"/>
    </row>
    <row r="29" spans="2:16">
      <c r="B29" t="str">
        <f t="shared" si="0"/>
        <v/>
      </c>
      <c r="C29" s="49">
        <f>IF(D11="","-",+C28+1)</f>
        <v>2029</v>
      </c>
      <c r="D29" s="54">
        <f>IF(F28+SUM(E$17:E28)=D$10,F28,D$10-SUM(E$17:E28))</f>
        <v>58179878.728769377</v>
      </c>
      <c r="E29" s="377">
        <f t="shared" si="26"/>
        <v>2938687.5086666667</v>
      </c>
      <c r="F29" s="54">
        <f t="shared" si="27"/>
        <v>55241191.220102713</v>
      </c>
      <c r="G29" s="378">
        <f t="shared" si="28"/>
        <v>9429204.1193877123</v>
      </c>
      <c r="H29" s="359">
        <f t="shared" si="29"/>
        <v>9429204.1193877123</v>
      </c>
      <c r="I29" s="51">
        <f t="shared" si="1"/>
        <v>0</v>
      </c>
      <c r="J29" s="51"/>
      <c r="K29" s="112"/>
      <c r="L29" s="53">
        <f t="shared" si="3"/>
        <v>0</v>
      </c>
      <c r="M29" s="112"/>
      <c r="N29" s="53">
        <f t="shared" si="5"/>
        <v>0</v>
      </c>
      <c r="O29" s="53">
        <f t="shared" si="6"/>
        <v>0</v>
      </c>
      <c r="P29" s="1"/>
    </row>
    <row r="30" spans="2:16">
      <c r="B30" t="str">
        <f t="shared" si="0"/>
        <v/>
      </c>
      <c r="C30" s="49">
        <f>IF(D11="","-",+C29+1)</f>
        <v>2030</v>
      </c>
      <c r="D30" s="54">
        <f>IF(F29+SUM(E$17:E29)=D$10,F29,D$10-SUM(E$17:E29))</f>
        <v>55241191.220102713</v>
      </c>
      <c r="E30" s="377">
        <f t="shared" si="26"/>
        <v>2938687.5086666667</v>
      </c>
      <c r="F30" s="54">
        <f t="shared" si="27"/>
        <v>52302503.711436048</v>
      </c>
      <c r="G30" s="378">
        <f t="shared" si="28"/>
        <v>9092871.5473652929</v>
      </c>
      <c r="H30" s="359">
        <f t="shared" si="29"/>
        <v>9092871.5473652929</v>
      </c>
      <c r="I30" s="51">
        <f t="shared" si="1"/>
        <v>0</v>
      </c>
      <c r="J30" s="51"/>
      <c r="K30" s="112"/>
      <c r="L30" s="53">
        <f t="shared" si="3"/>
        <v>0</v>
      </c>
      <c r="M30" s="112"/>
      <c r="N30" s="53">
        <f t="shared" si="5"/>
        <v>0</v>
      </c>
      <c r="O30" s="53">
        <f t="shared" si="6"/>
        <v>0</v>
      </c>
      <c r="P30" s="1"/>
    </row>
    <row r="31" spans="2:16">
      <c r="B31" t="str">
        <f t="shared" si="0"/>
        <v/>
      </c>
      <c r="C31" s="49">
        <f>IF(D11="","-",+C30+1)</f>
        <v>2031</v>
      </c>
      <c r="D31" s="54">
        <f>IF(F30+SUM(E$17:E30)=D$10,F30,D$10-SUM(E$17:E30))</f>
        <v>52302503.711436048</v>
      </c>
      <c r="E31" s="377">
        <f t="shared" si="26"/>
        <v>2938687.5086666667</v>
      </c>
      <c r="F31" s="54">
        <f t="shared" si="27"/>
        <v>49363816.202769384</v>
      </c>
      <c r="G31" s="378">
        <f t="shared" si="28"/>
        <v>8756538.9753428735</v>
      </c>
      <c r="H31" s="359">
        <f t="shared" si="29"/>
        <v>8756538.9753428735</v>
      </c>
      <c r="I31" s="51">
        <f t="shared" si="1"/>
        <v>0</v>
      </c>
      <c r="J31" s="51"/>
      <c r="K31" s="112"/>
      <c r="L31" s="53">
        <f t="shared" si="3"/>
        <v>0</v>
      </c>
      <c r="M31" s="112"/>
      <c r="N31" s="53">
        <f t="shared" si="5"/>
        <v>0</v>
      </c>
      <c r="O31" s="53">
        <f t="shared" si="6"/>
        <v>0</v>
      </c>
      <c r="P31" s="1"/>
    </row>
    <row r="32" spans="2:16">
      <c r="B32" t="str">
        <f t="shared" si="0"/>
        <v/>
      </c>
      <c r="C32" s="49">
        <f>IF(D11="","-",+C31+1)</f>
        <v>2032</v>
      </c>
      <c r="D32" s="54">
        <f>IF(F31+SUM(E$17:E31)=D$10,F31,D$10-SUM(E$17:E31))</f>
        <v>49363816.202769384</v>
      </c>
      <c r="E32" s="377">
        <f t="shared" si="26"/>
        <v>2938687.5086666667</v>
      </c>
      <c r="F32" s="54">
        <f t="shared" si="27"/>
        <v>46425128.694102719</v>
      </c>
      <c r="G32" s="378">
        <f t="shared" si="28"/>
        <v>8420206.4033204559</v>
      </c>
      <c r="H32" s="359">
        <f t="shared" si="29"/>
        <v>8420206.4033204559</v>
      </c>
      <c r="I32" s="51">
        <f t="shared" si="1"/>
        <v>0</v>
      </c>
      <c r="J32" s="51"/>
      <c r="K32" s="112"/>
      <c r="L32" s="53">
        <f t="shared" si="3"/>
        <v>0</v>
      </c>
      <c r="M32" s="112"/>
      <c r="N32" s="53">
        <f t="shared" si="5"/>
        <v>0</v>
      </c>
      <c r="O32" s="53">
        <f t="shared" si="6"/>
        <v>0</v>
      </c>
      <c r="P32" s="1"/>
    </row>
    <row r="33" spans="2:16">
      <c r="B33" t="str">
        <f t="shared" si="0"/>
        <v/>
      </c>
      <c r="C33" s="49">
        <f>IF(D11="","-",+C32+1)</f>
        <v>2033</v>
      </c>
      <c r="D33" s="54">
        <f>IF(F32+SUM(E$17:E32)=D$10,F32,D$10-SUM(E$17:E32))</f>
        <v>46425128.694102719</v>
      </c>
      <c r="E33" s="377">
        <f t="shared" si="26"/>
        <v>2938687.5086666667</v>
      </c>
      <c r="F33" s="54">
        <f t="shared" si="27"/>
        <v>43486441.185436055</v>
      </c>
      <c r="G33" s="378">
        <f t="shared" si="28"/>
        <v>8083873.8312980365</v>
      </c>
      <c r="H33" s="359">
        <f t="shared" si="29"/>
        <v>8083873.8312980365</v>
      </c>
      <c r="I33" s="51">
        <f t="shared" si="1"/>
        <v>0</v>
      </c>
      <c r="J33" s="51"/>
      <c r="K33" s="112"/>
      <c r="L33" s="53">
        <f t="shared" si="3"/>
        <v>0</v>
      </c>
      <c r="M33" s="112"/>
      <c r="N33" s="53">
        <f t="shared" si="5"/>
        <v>0</v>
      </c>
      <c r="O33" s="53">
        <f t="shared" si="6"/>
        <v>0</v>
      </c>
      <c r="P33" s="1"/>
    </row>
    <row r="34" spans="2:16">
      <c r="B34" t="str">
        <f t="shared" si="0"/>
        <v/>
      </c>
      <c r="C34" s="49">
        <f>IF(D11="","-",+C33+1)</f>
        <v>2034</v>
      </c>
      <c r="D34" s="54">
        <f>IF(F33+SUM(E$17:E33)=D$10,F33,D$10-SUM(E$17:E33))</f>
        <v>43486441.185436055</v>
      </c>
      <c r="E34" s="377">
        <f t="shared" si="26"/>
        <v>2938687.5086666667</v>
      </c>
      <c r="F34" s="54">
        <f t="shared" si="27"/>
        <v>40547753.676769391</v>
      </c>
      <c r="G34" s="378">
        <f t="shared" si="28"/>
        <v>7747541.2592756171</v>
      </c>
      <c r="H34" s="359">
        <f t="shared" si="29"/>
        <v>7747541.2592756171</v>
      </c>
      <c r="I34" s="51">
        <f t="shared" si="1"/>
        <v>0</v>
      </c>
      <c r="J34" s="51"/>
      <c r="K34" s="112"/>
      <c r="L34" s="53">
        <f t="shared" si="3"/>
        <v>0</v>
      </c>
      <c r="M34" s="112"/>
      <c r="N34" s="53">
        <f t="shared" si="5"/>
        <v>0</v>
      </c>
      <c r="O34" s="53">
        <f t="shared" si="6"/>
        <v>0</v>
      </c>
      <c r="P34" s="1"/>
    </row>
    <row r="35" spans="2:16">
      <c r="B35" t="str">
        <f t="shared" si="0"/>
        <v/>
      </c>
      <c r="C35" s="49">
        <f>IF(D11="","-",+C34+1)</f>
        <v>2035</v>
      </c>
      <c r="D35" s="54">
        <f>IF(F34+SUM(E$17:E34)=D$10,F34,D$10-SUM(E$17:E34))</f>
        <v>40547753.676769391</v>
      </c>
      <c r="E35" s="377">
        <f t="shared" si="26"/>
        <v>2938687.5086666667</v>
      </c>
      <c r="F35" s="54">
        <f t="shared" si="27"/>
        <v>37609066.168102726</v>
      </c>
      <c r="G35" s="378">
        <f t="shared" si="28"/>
        <v>7411208.6872531977</v>
      </c>
      <c r="H35" s="359">
        <f t="shared" si="29"/>
        <v>7411208.6872531977</v>
      </c>
      <c r="I35" s="51">
        <f t="shared" si="1"/>
        <v>0</v>
      </c>
      <c r="J35" s="51"/>
      <c r="K35" s="112"/>
      <c r="L35" s="53">
        <f t="shared" si="3"/>
        <v>0</v>
      </c>
      <c r="M35" s="112"/>
      <c r="N35" s="53">
        <f t="shared" si="5"/>
        <v>0</v>
      </c>
      <c r="O35" s="53">
        <f t="shared" si="6"/>
        <v>0</v>
      </c>
      <c r="P35" s="1"/>
    </row>
    <row r="36" spans="2:16">
      <c r="B36" t="str">
        <f t="shared" si="0"/>
        <v/>
      </c>
      <c r="C36" s="49">
        <f>IF(D11="","-",+C35+1)</f>
        <v>2036</v>
      </c>
      <c r="D36" s="54">
        <f>IF(F35+SUM(E$17:E35)=D$10,F35,D$10-SUM(E$17:E35))</f>
        <v>37609066.168102726</v>
      </c>
      <c r="E36" s="377">
        <f t="shared" si="26"/>
        <v>2938687.5086666667</v>
      </c>
      <c r="F36" s="54">
        <f t="shared" si="27"/>
        <v>34670378.659436062</v>
      </c>
      <c r="G36" s="378">
        <f t="shared" si="28"/>
        <v>7074876.1152307782</v>
      </c>
      <c r="H36" s="359">
        <f t="shared" si="29"/>
        <v>7074876.1152307782</v>
      </c>
      <c r="I36" s="51">
        <f t="shared" si="1"/>
        <v>0</v>
      </c>
      <c r="J36" s="51"/>
      <c r="K36" s="112"/>
      <c r="L36" s="53">
        <f t="shared" si="3"/>
        <v>0</v>
      </c>
      <c r="M36" s="112"/>
      <c r="N36" s="53">
        <f t="shared" si="5"/>
        <v>0</v>
      </c>
      <c r="O36" s="53">
        <f t="shared" si="6"/>
        <v>0</v>
      </c>
      <c r="P36" s="1"/>
    </row>
    <row r="37" spans="2:16">
      <c r="B37" t="str">
        <f t="shared" si="0"/>
        <v/>
      </c>
      <c r="C37" s="49">
        <f>IF(D11="","-",+C36+1)</f>
        <v>2037</v>
      </c>
      <c r="D37" s="54">
        <f>IF(F36+SUM(E$17:E36)=D$10,F36,D$10-SUM(E$17:E36))</f>
        <v>34670378.659436062</v>
      </c>
      <c r="E37" s="377">
        <f t="shared" si="26"/>
        <v>2938687.5086666667</v>
      </c>
      <c r="F37" s="54">
        <f t="shared" si="27"/>
        <v>31731691.150769394</v>
      </c>
      <c r="G37" s="378">
        <f t="shared" si="28"/>
        <v>6738543.5432083588</v>
      </c>
      <c r="H37" s="359">
        <f t="shared" si="29"/>
        <v>6738543.5432083588</v>
      </c>
      <c r="I37" s="51">
        <f t="shared" si="1"/>
        <v>0</v>
      </c>
      <c r="J37" s="51"/>
      <c r="K37" s="112"/>
      <c r="L37" s="53">
        <f t="shared" si="3"/>
        <v>0</v>
      </c>
      <c r="M37" s="112"/>
      <c r="N37" s="53">
        <f t="shared" si="5"/>
        <v>0</v>
      </c>
      <c r="O37" s="53">
        <f t="shared" si="6"/>
        <v>0</v>
      </c>
      <c r="P37" s="1"/>
    </row>
    <row r="38" spans="2:16">
      <c r="B38" t="str">
        <f t="shared" si="0"/>
        <v/>
      </c>
      <c r="C38" s="49">
        <f>IF(D11="","-",+C37+1)</f>
        <v>2038</v>
      </c>
      <c r="D38" s="54">
        <f>IF(F37+SUM(E$17:E37)=D$10,F37,D$10-SUM(E$17:E37))</f>
        <v>31731691.150769394</v>
      </c>
      <c r="E38" s="377">
        <f t="shared" si="26"/>
        <v>2938687.5086666667</v>
      </c>
      <c r="F38" s="54">
        <f t="shared" si="27"/>
        <v>28793003.642102726</v>
      </c>
      <c r="G38" s="378">
        <f t="shared" si="28"/>
        <v>6402210.9711859394</v>
      </c>
      <c r="H38" s="359">
        <f t="shared" si="29"/>
        <v>6402210.9711859394</v>
      </c>
      <c r="I38" s="51">
        <f t="shared" si="1"/>
        <v>0</v>
      </c>
      <c r="J38" s="51"/>
      <c r="K38" s="112"/>
      <c r="L38" s="53">
        <f t="shared" si="3"/>
        <v>0</v>
      </c>
      <c r="M38" s="112"/>
      <c r="N38" s="53">
        <f t="shared" si="5"/>
        <v>0</v>
      </c>
      <c r="O38" s="53">
        <f t="shared" si="6"/>
        <v>0</v>
      </c>
      <c r="P38" s="1"/>
    </row>
    <row r="39" spans="2:16">
      <c r="B39" t="str">
        <f t="shared" si="0"/>
        <v/>
      </c>
      <c r="C39" s="49">
        <f>IF(D11="","-",+C38+1)</f>
        <v>2039</v>
      </c>
      <c r="D39" s="54">
        <f>IF(F38+SUM(E$17:E38)=D$10,F38,D$10-SUM(E$17:E38))</f>
        <v>28793003.642102726</v>
      </c>
      <c r="E39" s="377">
        <f t="shared" si="26"/>
        <v>2938687.5086666667</v>
      </c>
      <c r="F39" s="54">
        <f t="shared" si="27"/>
        <v>25854316.133436058</v>
      </c>
      <c r="G39" s="378">
        <f t="shared" si="28"/>
        <v>6065878.39916352</v>
      </c>
      <c r="H39" s="359">
        <f t="shared" si="29"/>
        <v>6065878.39916352</v>
      </c>
      <c r="I39" s="51">
        <f t="shared" si="1"/>
        <v>0</v>
      </c>
      <c r="J39" s="51"/>
      <c r="K39" s="112"/>
      <c r="L39" s="53">
        <f t="shared" si="3"/>
        <v>0</v>
      </c>
      <c r="M39" s="112"/>
      <c r="N39" s="53">
        <f t="shared" si="5"/>
        <v>0</v>
      </c>
      <c r="O39" s="53">
        <f t="shared" si="6"/>
        <v>0</v>
      </c>
      <c r="P39" s="1"/>
    </row>
    <row r="40" spans="2:16">
      <c r="B40" t="str">
        <f t="shared" si="0"/>
        <v/>
      </c>
      <c r="C40" s="49">
        <f>IF(D11="","-",+C39+1)</f>
        <v>2040</v>
      </c>
      <c r="D40" s="54">
        <f>IF(F39+SUM(E$17:E39)=D$10,F39,D$10-SUM(E$17:E39))</f>
        <v>25854316.133436058</v>
      </c>
      <c r="E40" s="377">
        <f t="shared" si="26"/>
        <v>2938687.5086666667</v>
      </c>
      <c r="F40" s="54">
        <f t="shared" si="27"/>
        <v>22915628.62476939</v>
      </c>
      <c r="G40" s="378">
        <f t="shared" si="28"/>
        <v>5729545.8271411005</v>
      </c>
      <c r="H40" s="359">
        <f t="shared" si="29"/>
        <v>5729545.8271411005</v>
      </c>
      <c r="I40" s="51">
        <f t="shared" si="1"/>
        <v>0</v>
      </c>
      <c r="J40" s="51"/>
      <c r="K40" s="112"/>
      <c r="L40" s="53">
        <f t="shared" si="3"/>
        <v>0</v>
      </c>
      <c r="M40" s="112"/>
      <c r="N40" s="53">
        <f t="shared" si="5"/>
        <v>0</v>
      </c>
      <c r="O40" s="53">
        <f t="shared" si="6"/>
        <v>0</v>
      </c>
      <c r="P40" s="1"/>
    </row>
    <row r="41" spans="2:16">
      <c r="B41" t="str">
        <f t="shared" si="0"/>
        <v/>
      </c>
      <c r="C41" s="49">
        <f>IF(D11="","-",+C40+1)</f>
        <v>2041</v>
      </c>
      <c r="D41" s="54">
        <f>IF(F40+SUM(E$17:E40)=D$10,F40,D$10-SUM(E$17:E40))</f>
        <v>22915628.62476939</v>
      </c>
      <c r="E41" s="377">
        <f t="shared" si="26"/>
        <v>2938687.5086666667</v>
      </c>
      <c r="F41" s="54">
        <f t="shared" si="27"/>
        <v>19976941.116102722</v>
      </c>
      <c r="G41" s="378">
        <f t="shared" si="28"/>
        <v>5393213.2551186811</v>
      </c>
      <c r="H41" s="359">
        <f t="shared" si="29"/>
        <v>5393213.2551186811</v>
      </c>
      <c r="I41" s="51">
        <f t="shared" si="1"/>
        <v>0</v>
      </c>
      <c r="J41" s="51"/>
      <c r="K41" s="112"/>
      <c r="L41" s="53">
        <f t="shared" si="3"/>
        <v>0</v>
      </c>
      <c r="M41" s="112"/>
      <c r="N41" s="53">
        <f t="shared" si="5"/>
        <v>0</v>
      </c>
      <c r="O41" s="53">
        <f t="shared" si="6"/>
        <v>0</v>
      </c>
      <c r="P41" s="1"/>
    </row>
    <row r="42" spans="2:16">
      <c r="B42" t="str">
        <f t="shared" si="0"/>
        <v/>
      </c>
      <c r="C42" s="49">
        <f>IF(D11="","-",+C41+1)</f>
        <v>2042</v>
      </c>
      <c r="D42" s="54">
        <f>IF(F41+SUM(E$17:E41)=D$10,F41,D$10-SUM(E$17:E41))</f>
        <v>19976941.116102722</v>
      </c>
      <c r="E42" s="377">
        <f t="shared" si="26"/>
        <v>2938687.5086666667</v>
      </c>
      <c r="F42" s="54">
        <f t="shared" si="27"/>
        <v>17038253.607436053</v>
      </c>
      <c r="G42" s="378">
        <f t="shared" si="28"/>
        <v>5056880.6830962608</v>
      </c>
      <c r="H42" s="359">
        <f t="shared" si="29"/>
        <v>5056880.6830962608</v>
      </c>
      <c r="I42" s="51">
        <f t="shared" si="1"/>
        <v>0</v>
      </c>
      <c r="J42" s="51"/>
      <c r="K42" s="112"/>
      <c r="L42" s="53">
        <f t="shared" si="3"/>
        <v>0</v>
      </c>
      <c r="M42" s="112"/>
      <c r="N42" s="53">
        <f t="shared" si="5"/>
        <v>0</v>
      </c>
      <c r="O42" s="53">
        <f t="shared" si="6"/>
        <v>0</v>
      </c>
      <c r="P42" s="1"/>
    </row>
    <row r="43" spans="2:16">
      <c r="B43" t="str">
        <f t="shared" si="0"/>
        <v/>
      </c>
      <c r="C43" s="49">
        <f>IF(D11="","-",+C42+1)</f>
        <v>2043</v>
      </c>
      <c r="D43" s="54">
        <f>IF(F42+SUM(E$17:E42)=D$10,F42,D$10-SUM(E$17:E42))</f>
        <v>17038253.607436053</v>
      </c>
      <c r="E43" s="377">
        <f t="shared" si="26"/>
        <v>2938687.5086666667</v>
      </c>
      <c r="F43" s="54">
        <f t="shared" si="27"/>
        <v>14099566.098769387</v>
      </c>
      <c r="G43" s="378">
        <f t="shared" si="28"/>
        <v>4720548.1110738413</v>
      </c>
      <c r="H43" s="359">
        <f t="shared" si="29"/>
        <v>4720548.1110738413</v>
      </c>
      <c r="I43" s="51">
        <f t="shared" si="1"/>
        <v>0</v>
      </c>
      <c r="J43" s="51"/>
      <c r="K43" s="112"/>
      <c r="L43" s="53">
        <f t="shared" si="3"/>
        <v>0</v>
      </c>
      <c r="M43" s="112"/>
      <c r="N43" s="53">
        <f t="shared" si="5"/>
        <v>0</v>
      </c>
      <c r="O43" s="53">
        <f t="shared" si="6"/>
        <v>0</v>
      </c>
      <c r="P43" s="1"/>
    </row>
    <row r="44" spans="2:16">
      <c r="B44" t="str">
        <f t="shared" si="0"/>
        <v/>
      </c>
      <c r="C44" s="49">
        <f>IF(D11="","-",+C43+1)</f>
        <v>2044</v>
      </c>
      <c r="D44" s="54">
        <f>IF(F43+SUM(E$17:E43)=D$10,F43,D$10-SUM(E$17:E43))</f>
        <v>14099566.098769387</v>
      </c>
      <c r="E44" s="377">
        <f t="shared" si="26"/>
        <v>2938687.5086666667</v>
      </c>
      <c r="F44" s="54">
        <f t="shared" si="27"/>
        <v>11160878.590102721</v>
      </c>
      <c r="G44" s="378">
        <f t="shared" si="28"/>
        <v>4384215.5390514219</v>
      </c>
      <c r="H44" s="359">
        <f t="shared" si="29"/>
        <v>4384215.5390514219</v>
      </c>
      <c r="I44" s="51">
        <f t="shared" si="1"/>
        <v>0</v>
      </c>
      <c r="J44" s="51"/>
      <c r="K44" s="112"/>
      <c r="L44" s="53">
        <f t="shared" si="3"/>
        <v>0</v>
      </c>
      <c r="M44" s="112"/>
      <c r="N44" s="53">
        <f t="shared" si="5"/>
        <v>0</v>
      </c>
      <c r="O44" s="53">
        <f t="shared" si="6"/>
        <v>0</v>
      </c>
      <c r="P44" s="1"/>
    </row>
    <row r="45" spans="2:16">
      <c r="B45" t="str">
        <f t="shared" si="0"/>
        <v/>
      </c>
      <c r="C45" s="49">
        <f>IF(D11="","-",+C44+1)</f>
        <v>2045</v>
      </c>
      <c r="D45" s="54">
        <f>IF(F44+SUM(E$17:E44)=D$10,F44,D$10-SUM(E$17:E44))</f>
        <v>11160878.590102721</v>
      </c>
      <c r="E45" s="377">
        <f t="shared" si="26"/>
        <v>2938687.5086666667</v>
      </c>
      <c r="F45" s="54">
        <f t="shared" si="27"/>
        <v>8222191.0814360548</v>
      </c>
      <c r="G45" s="378">
        <f t="shared" si="28"/>
        <v>4047882.9670290025</v>
      </c>
      <c r="H45" s="359">
        <f t="shared" si="29"/>
        <v>4047882.9670290025</v>
      </c>
      <c r="I45" s="51">
        <f t="shared" si="1"/>
        <v>0</v>
      </c>
      <c r="J45" s="51"/>
      <c r="K45" s="112"/>
      <c r="L45" s="53">
        <f t="shared" si="3"/>
        <v>0</v>
      </c>
      <c r="M45" s="112"/>
      <c r="N45" s="53">
        <f t="shared" si="5"/>
        <v>0</v>
      </c>
      <c r="O45" s="53">
        <f t="shared" si="6"/>
        <v>0</v>
      </c>
      <c r="P45" s="1"/>
    </row>
    <row r="46" spans="2:16">
      <c r="B46" t="str">
        <f t="shared" si="0"/>
        <v/>
      </c>
      <c r="C46" s="49">
        <f>IF(D11="","-",+C45+1)</f>
        <v>2046</v>
      </c>
      <c r="D46" s="54">
        <f>IF(F45+SUM(E$17:E45)=D$10,F45,D$10-SUM(E$17:E45))</f>
        <v>8222191.0814360548</v>
      </c>
      <c r="E46" s="377">
        <f t="shared" si="26"/>
        <v>2938687.5086666667</v>
      </c>
      <c r="F46" s="54">
        <f t="shared" si="27"/>
        <v>5283503.5727693886</v>
      </c>
      <c r="G46" s="378">
        <f t="shared" si="28"/>
        <v>3711550.3950065831</v>
      </c>
      <c r="H46" s="359">
        <f t="shared" si="29"/>
        <v>3711550.3950065831</v>
      </c>
      <c r="I46" s="51">
        <f t="shared" si="1"/>
        <v>0</v>
      </c>
      <c r="J46" s="51"/>
      <c r="K46" s="112"/>
      <c r="L46" s="53">
        <f t="shared" si="3"/>
        <v>0</v>
      </c>
      <c r="M46" s="112"/>
      <c r="N46" s="53">
        <f t="shared" si="5"/>
        <v>0</v>
      </c>
      <c r="O46" s="53">
        <f t="shared" si="6"/>
        <v>0</v>
      </c>
      <c r="P46" s="1"/>
    </row>
    <row r="47" spans="2:16">
      <c r="B47" t="str">
        <f t="shared" si="0"/>
        <v/>
      </c>
      <c r="C47" s="49">
        <f>IF(D11="","-",+C46+1)</f>
        <v>2047</v>
      </c>
      <c r="D47" s="54">
        <f>IF(F46+SUM(E$17:E46)=D$10,F46,D$10-SUM(E$17:E46))</f>
        <v>5283503.5727693886</v>
      </c>
      <c r="E47" s="377">
        <f t="shared" si="26"/>
        <v>2938687.5086666667</v>
      </c>
      <c r="F47" s="54">
        <f t="shared" si="27"/>
        <v>2344816.0641027219</v>
      </c>
      <c r="G47" s="378">
        <f t="shared" si="28"/>
        <v>3375217.8229841641</v>
      </c>
      <c r="H47" s="359">
        <f t="shared" si="29"/>
        <v>3375217.8229841641</v>
      </c>
      <c r="I47" s="51">
        <f t="shared" si="1"/>
        <v>0</v>
      </c>
      <c r="J47" s="51"/>
      <c r="K47" s="112"/>
      <c r="L47" s="53">
        <f t="shared" si="3"/>
        <v>0</v>
      </c>
      <c r="M47" s="112"/>
      <c r="N47" s="53">
        <f t="shared" si="5"/>
        <v>0</v>
      </c>
      <c r="O47" s="53">
        <f t="shared" si="6"/>
        <v>0</v>
      </c>
      <c r="P47" s="1"/>
    </row>
    <row r="48" spans="2:16">
      <c r="B48" t="str">
        <f t="shared" si="0"/>
        <v/>
      </c>
      <c r="C48" s="49">
        <f>IF(D11="","-",+C47+1)</f>
        <v>2048</v>
      </c>
      <c r="D48" s="54">
        <f>IF(F47+SUM(E$17:E47)=D$10,F47,D$10-SUM(E$17:E47))</f>
        <v>2344816.0641027219</v>
      </c>
      <c r="E48" s="377">
        <f t="shared" si="26"/>
        <v>2344816.0641027219</v>
      </c>
      <c r="F48" s="54">
        <f t="shared" si="27"/>
        <v>0</v>
      </c>
      <c r="G48" s="378">
        <f t="shared" si="28"/>
        <v>2478998.0782558657</v>
      </c>
      <c r="H48" s="359">
        <f t="shared" si="29"/>
        <v>2478998.0782558657</v>
      </c>
      <c r="I48" s="51">
        <f t="shared" si="1"/>
        <v>0</v>
      </c>
      <c r="J48" s="51"/>
      <c r="K48" s="112"/>
      <c r="L48" s="53">
        <f t="shared" si="3"/>
        <v>0</v>
      </c>
      <c r="M48" s="112"/>
      <c r="N48" s="53">
        <f t="shared" si="5"/>
        <v>0</v>
      </c>
      <c r="O48" s="53">
        <f t="shared" si="6"/>
        <v>0</v>
      </c>
      <c r="P48" s="1"/>
    </row>
    <row r="49" spans="2:16">
      <c r="B49" t="str">
        <f t="shared" si="0"/>
        <v/>
      </c>
      <c r="C49" s="49">
        <f>IF(D11="","-",+C48+1)</f>
        <v>2049</v>
      </c>
      <c r="D49" s="54">
        <f>IF(F48+SUM(E$17:E48)=D$10,F48,D$10-SUM(E$17:E48))</f>
        <v>0</v>
      </c>
      <c r="E49" s="377">
        <f t="shared" si="26"/>
        <v>0</v>
      </c>
      <c r="F49" s="54">
        <f t="shared" si="27"/>
        <v>0</v>
      </c>
      <c r="G49" s="378">
        <f t="shared" si="28"/>
        <v>0</v>
      </c>
      <c r="H49" s="359">
        <f t="shared" si="29"/>
        <v>0</v>
      </c>
      <c r="I49" s="51">
        <f t="shared" si="1"/>
        <v>0</v>
      </c>
      <c r="J49" s="51"/>
      <c r="K49" s="112"/>
      <c r="L49" s="53">
        <f t="shared" si="3"/>
        <v>0</v>
      </c>
      <c r="M49" s="112"/>
      <c r="N49" s="53">
        <f t="shared" si="5"/>
        <v>0</v>
      </c>
      <c r="O49" s="53">
        <f t="shared" si="6"/>
        <v>0</v>
      </c>
      <c r="P49" s="1"/>
    </row>
    <row r="50" spans="2:16">
      <c r="B50" t="str">
        <f t="shared" si="0"/>
        <v/>
      </c>
      <c r="C50" s="49">
        <f>IF(D11="","-",+C49+1)</f>
        <v>2050</v>
      </c>
      <c r="D50" s="54">
        <f>IF(F49+SUM(E$17:E49)=D$10,F49,D$10-SUM(E$17:E49))</f>
        <v>0</v>
      </c>
      <c r="E50" s="377">
        <f t="shared" ref="E50:E71" si="30">IF(+I$14&lt;F49,I$14,D50)</f>
        <v>0</v>
      </c>
      <c r="F50" s="54">
        <f t="shared" si="27"/>
        <v>0</v>
      </c>
      <c r="G50" s="378">
        <f t="shared" si="28"/>
        <v>0</v>
      </c>
      <c r="H50" s="359">
        <f t="shared" si="29"/>
        <v>0</v>
      </c>
      <c r="I50" s="51">
        <f t="shared" si="1"/>
        <v>0</v>
      </c>
      <c r="J50" s="51"/>
      <c r="K50" s="112"/>
      <c r="L50" s="53">
        <f t="shared" si="3"/>
        <v>0</v>
      </c>
      <c r="M50" s="112"/>
      <c r="N50" s="53">
        <f t="shared" si="5"/>
        <v>0</v>
      </c>
      <c r="O50" s="53">
        <f t="shared" si="6"/>
        <v>0</v>
      </c>
      <c r="P50" s="1"/>
    </row>
    <row r="51" spans="2:16">
      <c r="B51" t="str">
        <f t="shared" si="0"/>
        <v/>
      </c>
      <c r="C51" s="49">
        <f>IF(D11="","-",+C50+1)</f>
        <v>2051</v>
      </c>
      <c r="D51" s="54">
        <f>IF(F50+SUM(E$17:E50)=D$10,F50,D$10-SUM(E$17:E50))</f>
        <v>0</v>
      </c>
      <c r="E51" s="377">
        <f t="shared" si="30"/>
        <v>0</v>
      </c>
      <c r="F51" s="54">
        <f t="shared" si="27"/>
        <v>0</v>
      </c>
      <c r="G51" s="378">
        <f t="shared" si="28"/>
        <v>0</v>
      </c>
      <c r="H51" s="359">
        <f t="shared" si="29"/>
        <v>0</v>
      </c>
      <c r="I51" s="51">
        <f t="shared" si="1"/>
        <v>0</v>
      </c>
      <c r="J51" s="51"/>
      <c r="K51" s="112"/>
      <c r="L51" s="53">
        <f t="shared" si="3"/>
        <v>0</v>
      </c>
      <c r="M51" s="112"/>
      <c r="N51" s="53">
        <f t="shared" si="5"/>
        <v>0</v>
      </c>
      <c r="O51" s="53">
        <f t="shared" si="6"/>
        <v>0</v>
      </c>
      <c r="P51" s="1"/>
    </row>
    <row r="52" spans="2:16">
      <c r="B52" t="str">
        <f t="shared" si="0"/>
        <v/>
      </c>
      <c r="C52" s="49">
        <f>IF(D11="","-",+C51+1)</f>
        <v>2052</v>
      </c>
      <c r="D52" s="54">
        <f>IF(F51+SUM(E$17:E51)=D$10,F51,D$10-SUM(E$17:E51))</f>
        <v>0</v>
      </c>
      <c r="E52" s="377">
        <f t="shared" si="30"/>
        <v>0</v>
      </c>
      <c r="F52" s="54">
        <f t="shared" si="27"/>
        <v>0</v>
      </c>
      <c r="G52" s="378">
        <f t="shared" si="28"/>
        <v>0</v>
      </c>
      <c r="H52" s="359">
        <f t="shared" si="29"/>
        <v>0</v>
      </c>
      <c r="I52" s="51">
        <f t="shared" si="1"/>
        <v>0</v>
      </c>
      <c r="J52" s="51"/>
      <c r="K52" s="112"/>
      <c r="L52" s="53">
        <f t="shared" si="3"/>
        <v>0</v>
      </c>
      <c r="M52" s="112"/>
      <c r="N52" s="53">
        <f t="shared" si="5"/>
        <v>0</v>
      </c>
      <c r="O52" s="53">
        <f t="shared" si="6"/>
        <v>0</v>
      </c>
      <c r="P52" s="1"/>
    </row>
    <row r="53" spans="2:16">
      <c r="B53" t="str">
        <f t="shared" si="0"/>
        <v/>
      </c>
      <c r="C53" s="49">
        <f>IF(D11="","-",+C52+1)</f>
        <v>2053</v>
      </c>
      <c r="D53" s="54">
        <f>IF(F52+SUM(E$17:E52)=D$10,F52,D$10-SUM(E$17:E52))</f>
        <v>0</v>
      </c>
      <c r="E53" s="377">
        <f t="shared" si="30"/>
        <v>0</v>
      </c>
      <c r="F53" s="54">
        <f t="shared" si="27"/>
        <v>0</v>
      </c>
      <c r="G53" s="378">
        <f t="shared" si="28"/>
        <v>0</v>
      </c>
      <c r="H53" s="359">
        <f t="shared" si="29"/>
        <v>0</v>
      </c>
      <c r="I53" s="51">
        <f t="shared" si="1"/>
        <v>0</v>
      </c>
      <c r="J53" s="51"/>
      <c r="K53" s="112"/>
      <c r="L53" s="53">
        <f t="shared" si="3"/>
        <v>0</v>
      </c>
      <c r="M53" s="112"/>
      <c r="N53" s="53">
        <f t="shared" si="5"/>
        <v>0</v>
      </c>
      <c r="O53" s="53">
        <f t="shared" si="6"/>
        <v>0</v>
      </c>
      <c r="P53" s="1"/>
    </row>
    <row r="54" spans="2:16">
      <c r="B54" t="str">
        <f t="shared" si="0"/>
        <v/>
      </c>
      <c r="C54" s="49">
        <f>IF(D11="","-",+C53+1)</f>
        <v>2054</v>
      </c>
      <c r="D54" s="54">
        <f>IF(F53+SUM(E$17:E53)=D$10,F53,D$10-SUM(E$17:E53))</f>
        <v>0</v>
      </c>
      <c r="E54" s="377">
        <f t="shared" si="30"/>
        <v>0</v>
      </c>
      <c r="F54" s="54">
        <f t="shared" si="27"/>
        <v>0</v>
      </c>
      <c r="G54" s="378">
        <f t="shared" si="28"/>
        <v>0</v>
      </c>
      <c r="H54" s="359">
        <f t="shared" si="29"/>
        <v>0</v>
      </c>
      <c r="I54" s="51">
        <f t="shared" si="1"/>
        <v>0</v>
      </c>
      <c r="J54" s="51"/>
      <c r="K54" s="112"/>
      <c r="L54" s="53">
        <f t="shared" si="3"/>
        <v>0</v>
      </c>
      <c r="M54" s="112"/>
      <c r="N54" s="53">
        <f t="shared" si="5"/>
        <v>0</v>
      </c>
      <c r="O54" s="53">
        <f t="shared" si="6"/>
        <v>0</v>
      </c>
      <c r="P54" s="1"/>
    </row>
    <row r="55" spans="2:16">
      <c r="B55" t="str">
        <f t="shared" si="0"/>
        <v/>
      </c>
      <c r="C55" s="49">
        <f>IF(D11="","-",+C54+1)</f>
        <v>2055</v>
      </c>
      <c r="D55" s="54">
        <f>IF(F54+SUM(E$17:E54)=D$10,F54,D$10-SUM(E$17:E54))</f>
        <v>0</v>
      </c>
      <c r="E55" s="377">
        <f t="shared" si="30"/>
        <v>0</v>
      </c>
      <c r="F55" s="54">
        <f t="shared" si="27"/>
        <v>0</v>
      </c>
      <c r="G55" s="378">
        <f t="shared" si="28"/>
        <v>0</v>
      </c>
      <c r="H55" s="359">
        <f t="shared" si="29"/>
        <v>0</v>
      </c>
      <c r="I55" s="51">
        <f t="shared" si="1"/>
        <v>0</v>
      </c>
      <c r="J55" s="51"/>
      <c r="K55" s="112"/>
      <c r="L55" s="53">
        <f t="shared" si="3"/>
        <v>0</v>
      </c>
      <c r="M55" s="112"/>
      <c r="N55" s="53">
        <f t="shared" si="5"/>
        <v>0</v>
      </c>
      <c r="O55" s="53">
        <f t="shared" si="6"/>
        <v>0</v>
      </c>
      <c r="P55" s="1"/>
    </row>
    <row r="56" spans="2:16">
      <c r="B56" t="str">
        <f t="shared" si="0"/>
        <v/>
      </c>
      <c r="C56" s="49">
        <f>IF(D11="","-",+C55+1)</f>
        <v>2056</v>
      </c>
      <c r="D56" s="54">
        <f>IF(F55+SUM(E$17:E55)=D$10,F55,D$10-SUM(E$17:E55))</f>
        <v>0</v>
      </c>
      <c r="E56" s="377">
        <f t="shared" si="30"/>
        <v>0</v>
      </c>
      <c r="F56" s="54">
        <f t="shared" si="27"/>
        <v>0</v>
      </c>
      <c r="G56" s="378">
        <f t="shared" si="28"/>
        <v>0</v>
      </c>
      <c r="H56" s="359">
        <f t="shared" si="29"/>
        <v>0</v>
      </c>
      <c r="I56" s="51">
        <f t="shared" si="1"/>
        <v>0</v>
      </c>
      <c r="J56" s="51"/>
      <c r="K56" s="112"/>
      <c r="L56" s="53">
        <f t="shared" si="3"/>
        <v>0</v>
      </c>
      <c r="M56" s="112"/>
      <c r="N56" s="53">
        <f t="shared" si="5"/>
        <v>0</v>
      </c>
      <c r="O56" s="53">
        <f t="shared" si="6"/>
        <v>0</v>
      </c>
      <c r="P56" s="1"/>
    </row>
    <row r="57" spans="2:16">
      <c r="B57" t="str">
        <f t="shared" si="0"/>
        <v/>
      </c>
      <c r="C57" s="49">
        <f>IF(D11="","-",+C56+1)</f>
        <v>2057</v>
      </c>
      <c r="D57" s="54">
        <f>IF(F56+SUM(E$17:E56)=D$10,F56,D$10-SUM(E$17:E56))</f>
        <v>0</v>
      </c>
      <c r="E57" s="377">
        <f t="shared" si="30"/>
        <v>0</v>
      </c>
      <c r="F57" s="54">
        <f t="shared" si="27"/>
        <v>0</v>
      </c>
      <c r="G57" s="378">
        <f t="shared" si="28"/>
        <v>0</v>
      </c>
      <c r="H57" s="359">
        <f t="shared" si="29"/>
        <v>0</v>
      </c>
      <c r="I57" s="51">
        <f t="shared" si="1"/>
        <v>0</v>
      </c>
      <c r="J57" s="51"/>
      <c r="K57" s="112"/>
      <c r="L57" s="53">
        <f t="shared" si="3"/>
        <v>0</v>
      </c>
      <c r="M57" s="112"/>
      <c r="N57" s="53">
        <f t="shared" si="5"/>
        <v>0</v>
      </c>
      <c r="O57" s="53">
        <f t="shared" si="6"/>
        <v>0</v>
      </c>
      <c r="P57" s="1"/>
    </row>
    <row r="58" spans="2:16">
      <c r="B58" t="str">
        <f t="shared" si="0"/>
        <v/>
      </c>
      <c r="C58" s="49">
        <f>IF(D11="","-",+C57+1)</f>
        <v>2058</v>
      </c>
      <c r="D58" s="54">
        <f>IF(F57+SUM(E$17:E57)=D$10,F57,D$10-SUM(E$17:E57))</f>
        <v>0</v>
      </c>
      <c r="E58" s="377">
        <f t="shared" si="30"/>
        <v>0</v>
      </c>
      <c r="F58" s="54">
        <f t="shared" si="27"/>
        <v>0</v>
      </c>
      <c r="G58" s="378">
        <f t="shared" si="28"/>
        <v>0</v>
      </c>
      <c r="H58" s="359">
        <f t="shared" si="29"/>
        <v>0</v>
      </c>
      <c r="I58" s="51">
        <f t="shared" si="1"/>
        <v>0</v>
      </c>
      <c r="J58" s="51"/>
      <c r="K58" s="112"/>
      <c r="L58" s="53">
        <f t="shared" si="3"/>
        <v>0</v>
      </c>
      <c r="M58" s="112"/>
      <c r="N58" s="53">
        <f t="shared" si="5"/>
        <v>0</v>
      </c>
      <c r="O58" s="53">
        <f t="shared" si="6"/>
        <v>0</v>
      </c>
      <c r="P58" s="1"/>
    </row>
    <row r="59" spans="2:16">
      <c r="B59" t="str">
        <f t="shared" si="0"/>
        <v/>
      </c>
      <c r="C59" s="49">
        <f>IF(D11="","-",+C58+1)</f>
        <v>2059</v>
      </c>
      <c r="D59" s="54">
        <f>IF(F58+SUM(E$17:E58)=D$10,F58,D$10-SUM(E$17:E58))</f>
        <v>0</v>
      </c>
      <c r="E59" s="377">
        <f t="shared" si="30"/>
        <v>0</v>
      </c>
      <c r="F59" s="54">
        <f t="shared" si="27"/>
        <v>0</v>
      </c>
      <c r="G59" s="378">
        <f t="shared" si="28"/>
        <v>0</v>
      </c>
      <c r="H59" s="359">
        <f t="shared" si="29"/>
        <v>0</v>
      </c>
      <c r="I59" s="51">
        <f t="shared" si="1"/>
        <v>0</v>
      </c>
      <c r="J59" s="51"/>
      <c r="K59" s="112"/>
      <c r="L59" s="53">
        <f t="shared" si="3"/>
        <v>0</v>
      </c>
      <c r="M59" s="112"/>
      <c r="N59" s="53">
        <f t="shared" si="5"/>
        <v>0</v>
      </c>
      <c r="O59" s="53">
        <f t="shared" si="6"/>
        <v>0</v>
      </c>
      <c r="P59" s="1"/>
    </row>
    <row r="60" spans="2:16">
      <c r="B60" t="str">
        <f t="shared" si="0"/>
        <v/>
      </c>
      <c r="C60" s="49">
        <f>IF(D11="","-",+C59+1)</f>
        <v>2060</v>
      </c>
      <c r="D60" s="54">
        <f>IF(F59+SUM(E$17:E59)=D$10,F59,D$10-SUM(E$17:E59))</f>
        <v>0</v>
      </c>
      <c r="E60" s="377">
        <f t="shared" si="30"/>
        <v>0</v>
      </c>
      <c r="F60" s="54">
        <f t="shared" si="27"/>
        <v>0</v>
      </c>
      <c r="G60" s="378">
        <f t="shared" si="28"/>
        <v>0</v>
      </c>
      <c r="H60" s="359">
        <f t="shared" si="29"/>
        <v>0</v>
      </c>
      <c r="I60" s="51">
        <f t="shared" si="1"/>
        <v>0</v>
      </c>
      <c r="J60" s="51"/>
      <c r="K60" s="112"/>
      <c r="L60" s="53">
        <f t="shared" si="3"/>
        <v>0</v>
      </c>
      <c r="M60" s="112"/>
      <c r="N60" s="53">
        <f t="shared" si="5"/>
        <v>0</v>
      </c>
      <c r="O60" s="53">
        <f t="shared" si="6"/>
        <v>0</v>
      </c>
      <c r="P60" s="1"/>
    </row>
    <row r="61" spans="2:16">
      <c r="B61" t="str">
        <f t="shared" si="0"/>
        <v/>
      </c>
      <c r="C61" s="49">
        <f>IF(D11="","-",+C60+1)</f>
        <v>2061</v>
      </c>
      <c r="D61" s="54">
        <f>IF(F60+SUM(E$17:E60)=D$10,F60,D$10-SUM(E$17:E60))</f>
        <v>0</v>
      </c>
      <c r="E61" s="377">
        <f t="shared" si="30"/>
        <v>0</v>
      </c>
      <c r="F61" s="54">
        <f t="shared" si="27"/>
        <v>0</v>
      </c>
      <c r="G61" s="388">
        <f t="shared" si="28"/>
        <v>0</v>
      </c>
      <c r="H61" s="359">
        <f t="shared" si="29"/>
        <v>0</v>
      </c>
      <c r="I61" s="51">
        <f t="shared" si="1"/>
        <v>0</v>
      </c>
      <c r="J61" s="51"/>
      <c r="K61" s="112"/>
      <c r="L61" s="53">
        <f t="shared" si="3"/>
        <v>0</v>
      </c>
      <c r="M61" s="112"/>
      <c r="N61" s="53">
        <f t="shared" si="5"/>
        <v>0</v>
      </c>
      <c r="O61" s="53">
        <f t="shared" si="6"/>
        <v>0</v>
      </c>
      <c r="P61" s="1"/>
    </row>
    <row r="62" spans="2:16">
      <c r="B62" t="str">
        <f t="shared" si="0"/>
        <v/>
      </c>
      <c r="C62" s="49">
        <f>IF(D11="","-",+C61+1)</f>
        <v>2062</v>
      </c>
      <c r="D62" s="54">
        <f>IF(F61+SUM(E$17:E61)=D$10,F61,D$10-SUM(E$17:E61))</f>
        <v>0</v>
      </c>
      <c r="E62" s="377">
        <f t="shared" si="30"/>
        <v>0</v>
      </c>
      <c r="F62" s="54">
        <f t="shared" si="27"/>
        <v>0</v>
      </c>
      <c r="G62" s="388">
        <f t="shared" si="28"/>
        <v>0</v>
      </c>
      <c r="H62" s="359">
        <f t="shared" si="29"/>
        <v>0</v>
      </c>
      <c r="I62" s="51">
        <f t="shared" si="1"/>
        <v>0</v>
      </c>
      <c r="J62" s="51"/>
      <c r="K62" s="112"/>
      <c r="L62" s="53">
        <f t="shared" si="3"/>
        <v>0</v>
      </c>
      <c r="M62" s="112"/>
      <c r="N62" s="53">
        <f t="shared" si="5"/>
        <v>0</v>
      </c>
      <c r="O62" s="53">
        <f t="shared" si="6"/>
        <v>0</v>
      </c>
      <c r="P62" s="1"/>
    </row>
    <row r="63" spans="2:16">
      <c r="B63" t="str">
        <f t="shared" si="0"/>
        <v/>
      </c>
      <c r="C63" s="49">
        <f>IF(D11="","-",+C62+1)</f>
        <v>2063</v>
      </c>
      <c r="D63" s="54">
        <f>IF(F62+SUM(E$17:E62)=D$10,F62,D$10-SUM(E$17:E62))</f>
        <v>0</v>
      </c>
      <c r="E63" s="377">
        <f t="shared" si="30"/>
        <v>0</v>
      </c>
      <c r="F63" s="54">
        <f t="shared" si="27"/>
        <v>0</v>
      </c>
      <c r="G63" s="388">
        <f t="shared" si="28"/>
        <v>0</v>
      </c>
      <c r="H63" s="359">
        <f t="shared" si="29"/>
        <v>0</v>
      </c>
      <c r="I63" s="51">
        <f t="shared" si="1"/>
        <v>0</v>
      </c>
      <c r="J63" s="51"/>
      <c r="K63" s="112"/>
      <c r="L63" s="53">
        <f t="shared" si="3"/>
        <v>0</v>
      </c>
      <c r="M63" s="112"/>
      <c r="N63" s="53">
        <f t="shared" si="5"/>
        <v>0</v>
      </c>
      <c r="O63" s="53">
        <f t="shared" si="6"/>
        <v>0</v>
      </c>
      <c r="P63" s="1"/>
    </row>
    <row r="64" spans="2:16">
      <c r="B64" t="str">
        <f t="shared" si="0"/>
        <v/>
      </c>
      <c r="C64" s="49">
        <f>IF(D11="","-",+C63+1)</f>
        <v>2064</v>
      </c>
      <c r="D64" s="54">
        <f>IF(F63+SUM(E$17:E63)=D$10,F63,D$10-SUM(E$17:E63))</f>
        <v>0</v>
      </c>
      <c r="E64" s="377">
        <f t="shared" si="30"/>
        <v>0</v>
      </c>
      <c r="F64" s="54">
        <f t="shared" si="27"/>
        <v>0</v>
      </c>
      <c r="G64" s="388">
        <f t="shared" si="28"/>
        <v>0</v>
      </c>
      <c r="H64" s="359">
        <f t="shared" si="29"/>
        <v>0</v>
      </c>
      <c r="I64" s="51">
        <f t="shared" si="1"/>
        <v>0</v>
      </c>
      <c r="J64" s="51"/>
      <c r="K64" s="112"/>
      <c r="L64" s="53">
        <f t="shared" si="3"/>
        <v>0</v>
      </c>
      <c r="M64" s="112"/>
      <c r="N64" s="53">
        <f t="shared" si="5"/>
        <v>0</v>
      </c>
      <c r="O64" s="53">
        <f t="shared" si="6"/>
        <v>0</v>
      </c>
      <c r="P64" s="1"/>
    </row>
    <row r="65" spans="2:16">
      <c r="B65" t="str">
        <f t="shared" si="0"/>
        <v/>
      </c>
      <c r="C65" s="49">
        <f>IF(D11="","-",+C64+1)</f>
        <v>2065</v>
      </c>
      <c r="D65" s="54">
        <f>IF(F64+SUM(E$17:E64)=D$10,F64,D$10-SUM(E$17:E64))</f>
        <v>0</v>
      </c>
      <c r="E65" s="377">
        <f t="shared" si="30"/>
        <v>0</v>
      </c>
      <c r="F65" s="54">
        <f t="shared" si="27"/>
        <v>0</v>
      </c>
      <c r="G65" s="388">
        <f t="shared" si="28"/>
        <v>0</v>
      </c>
      <c r="H65" s="359">
        <f t="shared" si="29"/>
        <v>0</v>
      </c>
      <c r="I65" s="51">
        <f t="shared" si="1"/>
        <v>0</v>
      </c>
      <c r="J65" s="51"/>
      <c r="K65" s="112"/>
      <c r="L65" s="53">
        <f t="shared" si="3"/>
        <v>0</v>
      </c>
      <c r="M65" s="112"/>
      <c r="N65" s="53">
        <f t="shared" si="5"/>
        <v>0</v>
      </c>
      <c r="O65" s="53">
        <f t="shared" si="6"/>
        <v>0</v>
      </c>
      <c r="P65" s="1"/>
    </row>
    <row r="66" spans="2:16">
      <c r="B66" t="str">
        <f t="shared" si="0"/>
        <v/>
      </c>
      <c r="C66" s="49">
        <f>IF(D11="","-",+C65+1)</f>
        <v>2066</v>
      </c>
      <c r="D66" s="54">
        <f>IF(F65+SUM(E$17:E65)=D$10,F65,D$10-SUM(E$17:E65))</f>
        <v>0</v>
      </c>
      <c r="E66" s="377">
        <f t="shared" si="30"/>
        <v>0</v>
      </c>
      <c r="F66" s="54">
        <f t="shared" si="27"/>
        <v>0</v>
      </c>
      <c r="G66" s="388">
        <f t="shared" si="28"/>
        <v>0</v>
      </c>
      <c r="H66" s="359">
        <f t="shared" si="29"/>
        <v>0</v>
      </c>
      <c r="I66" s="51">
        <f t="shared" si="1"/>
        <v>0</v>
      </c>
      <c r="J66" s="51"/>
      <c r="K66" s="112"/>
      <c r="L66" s="53">
        <f t="shared" si="3"/>
        <v>0</v>
      </c>
      <c r="M66" s="112"/>
      <c r="N66" s="53">
        <f t="shared" si="5"/>
        <v>0</v>
      </c>
      <c r="O66" s="53">
        <f t="shared" si="6"/>
        <v>0</v>
      </c>
      <c r="P66" s="1"/>
    </row>
    <row r="67" spans="2:16">
      <c r="B67" t="str">
        <f t="shared" si="0"/>
        <v/>
      </c>
      <c r="C67" s="49">
        <f>IF(D11="","-",+C66+1)</f>
        <v>2067</v>
      </c>
      <c r="D67" s="54">
        <f>IF(F66+SUM(E$17:E66)=D$10,F66,D$10-SUM(E$17:E66))</f>
        <v>0</v>
      </c>
      <c r="E67" s="377">
        <f t="shared" si="30"/>
        <v>0</v>
      </c>
      <c r="F67" s="54">
        <f t="shared" si="27"/>
        <v>0</v>
      </c>
      <c r="G67" s="388">
        <f t="shared" si="28"/>
        <v>0</v>
      </c>
      <c r="H67" s="359">
        <f t="shared" si="29"/>
        <v>0</v>
      </c>
      <c r="I67" s="51">
        <f t="shared" si="1"/>
        <v>0</v>
      </c>
      <c r="J67" s="51"/>
      <c r="K67" s="112"/>
      <c r="L67" s="53">
        <f t="shared" si="3"/>
        <v>0</v>
      </c>
      <c r="M67" s="112"/>
      <c r="N67" s="53">
        <f t="shared" si="5"/>
        <v>0</v>
      </c>
      <c r="O67" s="53">
        <f t="shared" si="6"/>
        <v>0</v>
      </c>
      <c r="P67" s="1"/>
    </row>
    <row r="68" spans="2:16">
      <c r="B68" t="str">
        <f t="shared" si="0"/>
        <v/>
      </c>
      <c r="C68" s="49">
        <f>IF(D11="","-",+C67+1)</f>
        <v>2068</v>
      </c>
      <c r="D68" s="54">
        <f>IF(F67+SUM(E$17:E67)=D$10,F67,D$10-SUM(E$17:E67))</f>
        <v>0</v>
      </c>
      <c r="E68" s="377">
        <f t="shared" si="30"/>
        <v>0</v>
      </c>
      <c r="F68" s="54">
        <f t="shared" si="27"/>
        <v>0</v>
      </c>
      <c r="G68" s="388">
        <f t="shared" si="28"/>
        <v>0</v>
      </c>
      <c r="H68" s="359">
        <f t="shared" si="29"/>
        <v>0</v>
      </c>
      <c r="I68" s="51">
        <f t="shared" si="1"/>
        <v>0</v>
      </c>
      <c r="J68" s="51"/>
      <c r="K68" s="112"/>
      <c r="L68" s="53">
        <f t="shared" si="3"/>
        <v>0</v>
      </c>
      <c r="M68" s="112"/>
      <c r="N68" s="53">
        <f t="shared" si="5"/>
        <v>0</v>
      </c>
      <c r="O68" s="53">
        <f t="shared" si="6"/>
        <v>0</v>
      </c>
      <c r="P68" s="1"/>
    </row>
    <row r="69" spans="2:16">
      <c r="B69" t="str">
        <f t="shared" si="0"/>
        <v/>
      </c>
      <c r="C69" s="49">
        <f>IF(D11="","-",+C68+1)</f>
        <v>2069</v>
      </c>
      <c r="D69" s="54">
        <f>IF(F68+SUM(E$17:E68)=D$10,F68,D$10-SUM(E$17:E68))</f>
        <v>0</v>
      </c>
      <c r="E69" s="377">
        <f t="shared" si="30"/>
        <v>0</v>
      </c>
      <c r="F69" s="54">
        <f t="shared" si="27"/>
        <v>0</v>
      </c>
      <c r="G69" s="388">
        <f t="shared" si="28"/>
        <v>0</v>
      </c>
      <c r="H69" s="359">
        <f t="shared" si="29"/>
        <v>0</v>
      </c>
      <c r="I69" s="51">
        <f t="shared" si="1"/>
        <v>0</v>
      </c>
      <c r="J69" s="51"/>
      <c r="K69" s="112"/>
      <c r="L69" s="53">
        <f t="shared" si="3"/>
        <v>0</v>
      </c>
      <c r="M69" s="112"/>
      <c r="N69" s="53">
        <f t="shared" si="5"/>
        <v>0</v>
      </c>
      <c r="O69" s="53">
        <f t="shared" si="6"/>
        <v>0</v>
      </c>
      <c r="P69" s="1"/>
    </row>
    <row r="70" spans="2:16">
      <c r="B70" t="str">
        <f t="shared" si="0"/>
        <v/>
      </c>
      <c r="C70" s="49">
        <f>IF(D11="","-",+C69+1)</f>
        <v>2070</v>
      </c>
      <c r="D70" s="54">
        <f>IF(F69+SUM(E$17:E69)=D$10,F69,D$10-SUM(E$17:E69))</f>
        <v>0</v>
      </c>
      <c r="E70" s="377">
        <f t="shared" si="30"/>
        <v>0</v>
      </c>
      <c r="F70" s="54">
        <f t="shared" si="27"/>
        <v>0</v>
      </c>
      <c r="G70" s="388">
        <f t="shared" si="28"/>
        <v>0</v>
      </c>
      <c r="H70" s="359">
        <f t="shared" si="29"/>
        <v>0</v>
      </c>
      <c r="I70" s="51">
        <f t="shared" si="1"/>
        <v>0</v>
      </c>
      <c r="J70" s="51"/>
      <c r="K70" s="112"/>
      <c r="L70" s="53">
        <f t="shared" si="3"/>
        <v>0</v>
      </c>
      <c r="M70" s="112"/>
      <c r="N70" s="53">
        <f t="shared" si="5"/>
        <v>0</v>
      </c>
      <c r="O70" s="53">
        <f t="shared" si="6"/>
        <v>0</v>
      </c>
      <c r="P70" s="1"/>
    </row>
    <row r="71" spans="2:16">
      <c r="B71" t="str">
        <f t="shared" si="0"/>
        <v/>
      </c>
      <c r="C71" s="49">
        <f>IF(D11="","-",+C70+1)</f>
        <v>2071</v>
      </c>
      <c r="D71" s="54">
        <f>IF(F70+SUM(E$17:E70)=D$10,F70,D$10-SUM(E$17:E70))</f>
        <v>0</v>
      </c>
      <c r="E71" s="377">
        <f t="shared" si="30"/>
        <v>0</v>
      </c>
      <c r="F71" s="54">
        <f t="shared" si="27"/>
        <v>0</v>
      </c>
      <c r="G71" s="388">
        <f t="shared" si="28"/>
        <v>0</v>
      </c>
      <c r="H71" s="359">
        <f t="shared" si="29"/>
        <v>0</v>
      </c>
      <c r="I71" s="51">
        <f t="shared" si="1"/>
        <v>0</v>
      </c>
      <c r="J71" s="51"/>
      <c r="K71" s="112"/>
      <c r="L71" s="53">
        <f t="shared" si="3"/>
        <v>0</v>
      </c>
      <c r="M71" s="112"/>
      <c r="N71" s="53">
        <f t="shared" si="5"/>
        <v>0</v>
      </c>
      <c r="O71" s="53">
        <f t="shared" si="6"/>
        <v>0</v>
      </c>
      <c r="P71" s="1"/>
    </row>
    <row r="72" spans="2:16">
      <c r="C72" s="49">
        <f>IF(D12="","-",+C71+1)</f>
        <v>2072</v>
      </c>
      <c r="D72" s="54">
        <f>IF(F71+SUM(E$17:E71)=D$10,F71,D$10-SUM(E$17:E71))</f>
        <v>0</v>
      </c>
      <c r="E72" s="377">
        <f>IF(+I$14&lt;F71,I$14,D72)</f>
        <v>0</v>
      </c>
      <c r="F72" s="54">
        <f>+D72-E72</f>
        <v>0</v>
      </c>
      <c r="G72" s="388">
        <f>(D72+F72)/2*I$12+E72</f>
        <v>0</v>
      </c>
      <c r="H72" s="359">
        <f>+(D72+F72)/2*I$13+E72</f>
        <v>0</v>
      </c>
      <c r="I72" s="51">
        <f>H72-G72</f>
        <v>0</v>
      </c>
      <c r="J72" s="51"/>
      <c r="K72" s="112"/>
      <c r="L72" s="53">
        <f>IF(K72&lt;&gt;0,+G72-K72,0)</f>
        <v>0</v>
      </c>
      <c r="M72" s="112"/>
      <c r="N72" s="53">
        <f>IF(M72&lt;&gt;0,+H72-M72,0)</f>
        <v>0</v>
      </c>
      <c r="O72" s="53">
        <f>+N72-L72</f>
        <v>0</v>
      </c>
      <c r="P72" s="1"/>
    </row>
    <row r="73" spans="2:16" ht="13.5" thickBot="1">
      <c r="B73" t="str">
        <f>IF(D73=F71,"","IU")</f>
        <v/>
      </c>
      <c r="C73" s="58">
        <f>IF(D13="","-",+C72+1)</f>
        <v>2073</v>
      </c>
      <c r="D73" s="54">
        <f>IF(F72+SUM(E$17:E72)=D$10,F72,D$10-SUM(E$17:E72))</f>
        <v>0</v>
      </c>
      <c r="E73" s="389">
        <f>IF(+I$14&lt;F72,I$14,D73)</f>
        <v>0</v>
      </c>
      <c r="F73" s="59">
        <f>+D73-E73</f>
        <v>0</v>
      </c>
      <c r="G73" s="390">
        <f>(D73+F73)/2*I$12+E73</f>
        <v>0</v>
      </c>
      <c r="H73" s="357">
        <f>+(D73+F73)/2*I$13+E73</f>
        <v>0</v>
      </c>
      <c r="I73" s="62">
        <f>H73-G73</f>
        <v>0</v>
      </c>
      <c r="J73" s="51"/>
      <c r="K73" s="113"/>
      <c r="L73" s="63">
        <f>IF(K73&lt;&gt;0,+G73-K73,0)</f>
        <v>0</v>
      </c>
      <c r="M73" s="113"/>
      <c r="N73" s="63">
        <f>IF(M73&lt;&gt;0,+H73-M73,0)</f>
        <v>0</v>
      </c>
      <c r="O73" s="63">
        <f>+N73-L73</f>
        <v>0</v>
      </c>
      <c r="P73" s="1"/>
    </row>
    <row r="74" spans="2:16">
      <c r="C74" s="11" t="s">
        <v>75</v>
      </c>
      <c r="D74" s="242"/>
      <c r="E74" s="242">
        <f>SUM(E17:E73)</f>
        <v>88160625.25999999</v>
      </c>
      <c r="F74" s="242"/>
      <c r="G74" s="242">
        <f>SUM(G17:G73)</f>
        <v>247053396.70719394</v>
      </c>
      <c r="H74" s="242">
        <f>SUM(H17:H73)</f>
        <v>247053396.70719394</v>
      </c>
      <c r="I74" s="242">
        <f>SUM(I17:I73)</f>
        <v>0</v>
      </c>
      <c r="J74" s="242"/>
      <c r="K74" s="242"/>
      <c r="L74" s="242"/>
      <c r="M74" s="242"/>
      <c r="N74" s="242"/>
      <c r="O74" s="1"/>
      <c r="P74" s="1"/>
    </row>
    <row r="75" spans="2:16">
      <c r="D75" s="2"/>
      <c r="E75" s="1"/>
      <c r="F75" s="1"/>
      <c r="G75" s="1"/>
      <c r="H75" s="260"/>
      <c r="I75" s="260"/>
      <c r="J75" s="242"/>
      <c r="K75" s="260"/>
      <c r="L75" s="260"/>
      <c r="M75" s="260"/>
      <c r="N75" s="260"/>
      <c r="O75" s="1"/>
      <c r="P75" s="1"/>
    </row>
    <row r="76" spans="2:16">
      <c r="C76" s="29" t="s">
        <v>95</v>
      </c>
      <c r="D76" s="2"/>
      <c r="E76" s="1"/>
      <c r="F76" s="1"/>
      <c r="G76" s="1"/>
      <c r="H76" s="260"/>
      <c r="I76" s="260"/>
      <c r="J76" s="242"/>
      <c r="K76" s="260"/>
      <c r="L76" s="260"/>
      <c r="M76" s="260"/>
      <c r="N76" s="260"/>
      <c r="O76" s="1"/>
      <c r="P76" s="1"/>
    </row>
    <row r="77" spans="2:16">
      <c r="C77" s="25" t="s">
        <v>76</v>
      </c>
      <c r="D77" s="2"/>
      <c r="E77" s="1"/>
      <c r="F77" s="1"/>
      <c r="G77" s="1"/>
      <c r="H77" s="260"/>
      <c r="I77" s="260"/>
      <c r="J77" s="242"/>
      <c r="K77" s="260"/>
      <c r="L77" s="260"/>
      <c r="M77" s="260"/>
      <c r="N77" s="260"/>
      <c r="O77" s="1"/>
      <c r="P77" s="1"/>
    </row>
    <row r="78" spans="2:16">
      <c r="C78" s="25" t="s">
        <v>77</v>
      </c>
      <c r="D78" s="11"/>
      <c r="E78" s="11"/>
      <c r="F78" s="11"/>
      <c r="G78" s="242"/>
      <c r="H78" s="242"/>
      <c r="I78" s="64"/>
      <c r="J78" s="64"/>
      <c r="K78" s="64"/>
      <c r="L78" s="64"/>
      <c r="M78" s="64"/>
      <c r="N78" s="64"/>
      <c r="O78" s="1"/>
      <c r="P78" s="1"/>
    </row>
    <row r="79" spans="2:16">
      <c r="C79" s="25"/>
      <c r="D79" s="11"/>
      <c r="E79" s="11"/>
      <c r="F79" s="11"/>
      <c r="G79" s="242"/>
      <c r="H79" s="242"/>
      <c r="I79" s="64"/>
      <c r="J79" s="64"/>
      <c r="K79" s="64"/>
      <c r="L79" s="64"/>
      <c r="M79" s="64"/>
      <c r="N79" s="64"/>
      <c r="O79" s="1"/>
      <c r="P79" s="1"/>
    </row>
    <row r="80" spans="2:16">
      <c r="B80" s="1"/>
      <c r="C80" s="1"/>
      <c r="D80" s="2"/>
      <c r="E80" s="1"/>
      <c r="F80" s="11"/>
      <c r="G80" s="1"/>
      <c r="H80" s="260"/>
      <c r="I80" s="1"/>
      <c r="J80" s="1"/>
      <c r="K80" s="1"/>
      <c r="L80" s="1"/>
      <c r="M80" s="1"/>
      <c r="N80" s="1"/>
      <c r="O80" s="1"/>
      <c r="P80" s="1"/>
    </row>
    <row r="81" spans="1:16" ht="18">
      <c r="B81" s="1"/>
      <c r="C81" s="92"/>
      <c r="D81" s="2"/>
      <c r="E81" s="1"/>
      <c r="F81" s="11"/>
      <c r="G81" s="1"/>
      <c r="H81" s="260"/>
      <c r="I81" s="1"/>
      <c r="J81" s="1"/>
      <c r="K81" s="1"/>
      <c r="L81" s="1"/>
      <c r="M81" s="1"/>
      <c r="N81" s="1"/>
      <c r="P81" s="94" t="s">
        <v>128</v>
      </c>
    </row>
    <row r="82" spans="1:16">
      <c r="B82" s="1"/>
      <c r="C82" s="1"/>
      <c r="D82" s="2"/>
      <c r="E82" s="1"/>
      <c r="F82" s="11"/>
      <c r="G82" s="1"/>
      <c r="H82" s="260"/>
      <c r="I82" s="1"/>
      <c r="J82" s="1"/>
      <c r="K82" s="1"/>
      <c r="L82" s="1"/>
      <c r="M82" s="1"/>
      <c r="N82" s="1"/>
      <c r="O82" s="1"/>
      <c r="P82" s="1"/>
    </row>
    <row r="83" spans="1:16">
      <c r="B83" s="1"/>
      <c r="C83" s="1"/>
      <c r="D83" s="2"/>
      <c r="E83" s="1"/>
      <c r="F83" s="11"/>
      <c r="G83" s="1"/>
      <c r="H83" s="260"/>
      <c r="I83" s="1"/>
      <c r="J83" s="1"/>
      <c r="K83" s="1"/>
      <c r="L83" s="1"/>
      <c r="M83" s="1"/>
      <c r="N83" s="1"/>
      <c r="O83" s="1"/>
      <c r="P83" s="1"/>
    </row>
    <row r="84" spans="1:16" ht="20.25">
      <c r="A84" s="93" t="s">
        <v>190</v>
      </c>
      <c r="B84" s="1"/>
      <c r="C84" s="1"/>
      <c r="D84" s="2"/>
      <c r="E84" s="1"/>
      <c r="F84" s="7"/>
      <c r="G84" s="7"/>
      <c r="H84" s="1"/>
      <c r="I84" s="260"/>
      <c r="L84" s="12"/>
      <c r="M84" s="12"/>
      <c r="P84" s="12" t="str">
        <f ca="1">P1</f>
        <v>OKT Project 17 of 26</v>
      </c>
    </row>
    <row r="85" spans="1:16" ht="18">
      <c r="B85" s="1"/>
      <c r="C85" s="1"/>
      <c r="D85" s="2"/>
      <c r="E85" s="1"/>
      <c r="F85" s="1"/>
      <c r="G85" s="1"/>
      <c r="H85" s="1"/>
      <c r="I85" s="260"/>
      <c r="J85" s="1"/>
      <c r="K85" s="1"/>
      <c r="L85" s="1"/>
      <c r="M85" s="1"/>
      <c r="P85" s="99" t="s">
        <v>132</v>
      </c>
    </row>
    <row r="86" spans="1:16" ht="18.75" thickBot="1">
      <c r="B86" s="4" t="s">
        <v>42</v>
      </c>
      <c r="C86" s="66" t="s">
        <v>81</v>
      </c>
      <c r="D86" s="2"/>
      <c r="E86" s="1"/>
      <c r="F86" s="1"/>
      <c r="G86" s="1"/>
      <c r="H86" s="1"/>
      <c r="I86" s="260"/>
      <c r="J86" s="260"/>
      <c r="K86" s="242"/>
      <c r="L86" s="260"/>
      <c r="M86" s="260"/>
      <c r="N86" s="260"/>
      <c r="O86" s="242"/>
      <c r="P86" s="1"/>
    </row>
    <row r="87" spans="1:16" ht="15.75" thickBot="1">
      <c r="C87" s="250"/>
      <c r="D87" s="2"/>
      <c r="E87" s="1"/>
      <c r="F87" s="1"/>
      <c r="G87" s="1"/>
      <c r="H87" s="1"/>
      <c r="I87" s="260"/>
      <c r="J87" s="260"/>
      <c r="K87" s="242"/>
      <c r="L87" s="100">
        <f>+J93</f>
        <v>2025</v>
      </c>
      <c r="M87" s="392" t="s">
        <v>9</v>
      </c>
      <c r="N87" s="393" t="s">
        <v>134</v>
      </c>
      <c r="O87" s="394" t="s">
        <v>11</v>
      </c>
      <c r="P87" s="1"/>
    </row>
    <row r="88" spans="1:16" ht="15">
      <c r="C88" s="90" t="s">
        <v>44</v>
      </c>
      <c r="D88" s="2"/>
      <c r="E88" s="1"/>
      <c r="F88" s="1"/>
      <c r="G88" s="1"/>
      <c r="H88" s="349"/>
      <c r="I88" s="1" t="s">
        <v>45</v>
      </c>
      <c r="J88" s="1"/>
      <c r="K88" s="104"/>
      <c r="L88" s="395" t="s">
        <v>253</v>
      </c>
      <c r="M88" s="396">
        <f>IF(J93&lt;D11,0,VLOOKUP(J93,C17:O73,9))</f>
        <v>10774534.40747739</v>
      </c>
      <c r="N88" s="396">
        <f>IF(J93&lt;D11,0,VLOOKUP(J93,C17:O73,11))</f>
        <v>10774534.40747739</v>
      </c>
      <c r="O88" s="68">
        <f>+N88-M88</f>
        <v>0</v>
      </c>
      <c r="P88" s="1"/>
    </row>
    <row r="89" spans="1:16" ht="15.75">
      <c r="C89" s="6"/>
      <c r="D89" s="2"/>
      <c r="E89" s="1"/>
      <c r="F89" s="1"/>
      <c r="G89" s="1"/>
      <c r="H89" s="1"/>
      <c r="I89" s="351"/>
      <c r="J89" s="351"/>
      <c r="K89" s="397"/>
      <c r="L89" s="398" t="s">
        <v>254</v>
      </c>
      <c r="M89" s="399">
        <f>IF(J93&lt;D11,0,VLOOKUP(J93,C100:P155,6))</f>
        <v>9642535.4909605589</v>
      </c>
      <c r="N89" s="399">
        <f>IF(J93&lt;D11,0,VLOOKUP(J93,C100:P155,7))</f>
        <v>9642535.4909605589</v>
      </c>
      <c r="O89" s="70">
        <f>+N89-M89</f>
        <v>0</v>
      </c>
      <c r="P89" s="1"/>
    </row>
    <row r="90" spans="1:16" ht="13.5" thickBot="1">
      <c r="C90" s="25" t="s">
        <v>82</v>
      </c>
      <c r="D90" s="96" t="str">
        <f>+D7</f>
        <v>Chisholm - Gracemont 345 kv line and station</v>
      </c>
      <c r="E90" s="1"/>
      <c r="F90" s="1"/>
      <c r="G90" s="1"/>
      <c r="H90" s="1"/>
      <c r="I90" s="260"/>
      <c r="J90" s="260"/>
      <c r="K90" s="400"/>
      <c r="L90" s="109" t="s">
        <v>135</v>
      </c>
      <c r="M90" s="401">
        <f>+M89-M88</f>
        <v>-1131998.9165168311</v>
      </c>
      <c r="N90" s="401">
        <f>+N89-N88</f>
        <v>-1131998.9165168311</v>
      </c>
      <c r="O90" s="402">
        <f>+O89-O88</f>
        <v>0</v>
      </c>
      <c r="P90" s="1"/>
    </row>
    <row r="91" spans="1:16" ht="13.5" thickBot="1">
      <c r="C91" s="29"/>
      <c r="D91" s="65" t="str">
        <f>IF(D8="","",D8)</f>
        <v/>
      </c>
      <c r="E91" s="11"/>
      <c r="F91" s="11"/>
      <c r="G91" s="11"/>
      <c r="H91" s="10"/>
      <c r="I91" s="260"/>
      <c r="J91" s="260"/>
      <c r="K91" s="242"/>
      <c r="L91" s="260"/>
      <c r="M91" s="260"/>
      <c r="N91" s="260"/>
      <c r="O91" s="242"/>
      <c r="P91" s="1"/>
    </row>
    <row r="92" spans="1:16" ht="13.5" thickBot="1">
      <c r="C92" s="74" t="s">
        <v>83</v>
      </c>
      <c r="D92" s="88" t="str">
        <f>+D9</f>
        <v>TP 2011150</v>
      </c>
      <c r="E92" s="75" t="s">
        <v>310</v>
      </c>
      <c r="F92" s="75">
        <f>F9</f>
        <v>30361</v>
      </c>
      <c r="G92" s="75"/>
      <c r="H92" s="75"/>
      <c r="I92" s="75"/>
      <c r="J92" s="75"/>
    </row>
    <row r="93" spans="1:16">
      <c r="C93" s="34" t="s">
        <v>49</v>
      </c>
      <c r="D93" s="358">
        <v>88160625.260000005</v>
      </c>
      <c r="E93" s="1" t="s">
        <v>84</v>
      </c>
      <c r="H93" s="2"/>
      <c r="I93" s="2"/>
      <c r="J93" s="36">
        <f>+'OKT.WS.G.BPU.ATRR.True-up'!M16</f>
        <v>2025</v>
      </c>
      <c r="K93" s="33"/>
      <c r="L93" s="242" t="s">
        <v>85</v>
      </c>
      <c r="P93" s="1"/>
    </row>
    <row r="94" spans="1:16">
      <c r="C94" s="34" t="s">
        <v>52</v>
      </c>
      <c r="D94" s="37">
        <f>IF(D11=I10,"",D11)</f>
        <v>2017</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358">
        <f>IF(D11=I10,"",D12)</f>
        <v>12</v>
      </c>
      <c r="E95" s="34" t="s">
        <v>55</v>
      </c>
      <c r="F95" s="2"/>
      <c r="G95" s="2"/>
      <c r="J95" s="40">
        <f>'OKT.WS.G.BPU.ATRR.True-up'!$F$81</f>
        <v>0.11246496061127743</v>
      </c>
      <c r="K95" s="7"/>
      <c r="L95" t="s">
        <v>86</v>
      </c>
      <c r="P95" s="1"/>
    </row>
    <row r="96" spans="1:16">
      <c r="C96" s="34" t="s">
        <v>57</v>
      </c>
      <c r="D96" s="38">
        <f>'OKT.WS.G.BPU.ATRR.True-up'!F$93</f>
        <v>32</v>
      </c>
      <c r="E96" s="34" t="s">
        <v>58</v>
      </c>
      <c r="F96" s="2"/>
      <c r="G96" s="2"/>
      <c r="J96" s="40">
        <f>IF(H88="",J95,'OKT.WS.G.BPU.ATRR.True-up'!$F$80)</f>
        <v>0.11246496061127743</v>
      </c>
      <c r="K96" s="7"/>
      <c r="L96" s="242" t="s">
        <v>59</v>
      </c>
      <c r="M96" s="7"/>
      <c r="N96" s="7"/>
      <c r="O96" s="7"/>
      <c r="P96" s="1"/>
    </row>
    <row r="97" spans="1:16" ht="13.5" thickBot="1">
      <c r="C97" s="34" t="s">
        <v>60</v>
      </c>
      <c r="D97" s="454" t="str">
        <f>+D14</f>
        <v>No</v>
      </c>
      <c r="E97" s="71" t="s">
        <v>62</v>
      </c>
      <c r="F97" s="76"/>
      <c r="G97" s="76"/>
      <c r="H97" s="77"/>
      <c r="I97" s="77"/>
      <c r="J97" s="357">
        <f>IF(D93=0,0,D93/D96)</f>
        <v>2755019.5393750002</v>
      </c>
      <c r="K97" s="242"/>
      <c r="L97" s="242"/>
      <c r="M97" s="242"/>
      <c r="N97" s="242"/>
      <c r="O97" s="242"/>
      <c r="P97" s="1"/>
    </row>
    <row r="98" spans="1:16"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row>
    <row r="99" spans="1:16"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row>
    <row r="100" spans="1:16">
      <c r="B100" t="str">
        <f t="shared" ref="B100:B155" si="31">IF(D100=F99,"","IU")</f>
        <v>IU</v>
      </c>
      <c r="C100" s="49">
        <f>IF(D94= "","-",D94)</f>
        <v>2017</v>
      </c>
      <c r="D100" s="371">
        <v>0</v>
      </c>
      <c r="E100" s="373">
        <v>0</v>
      </c>
      <c r="F100" s="375">
        <v>87396515</v>
      </c>
      <c r="G100" s="375">
        <v>43698257.5</v>
      </c>
      <c r="H100" s="373">
        <v>5127372.8083007364</v>
      </c>
      <c r="I100" s="374">
        <v>5127372.8083007364</v>
      </c>
      <c r="J100" s="53">
        <f t="shared" ref="J100:J131" si="32">+I100-H100</f>
        <v>0</v>
      </c>
      <c r="K100" s="53"/>
      <c r="L100" s="376">
        <f>+H100</f>
        <v>5127372.8083007364</v>
      </c>
      <c r="M100" s="53">
        <f t="shared" ref="M100:M131" si="33">IF(L100&lt;&gt;0,+H100-L100,0)</f>
        <v>0</v>
      </c>
      <c r="N100" s="376">
        <f>+I100</f>
        <v>5127372.8083007364</v>
      </c>
      <c r="O100" s="413">
        <f t="shared" ref="O100:O131" si="34">IF(N100&lt;&gt;0,+I100-N100,0)</f>
        <v>0</v>
      </c>
      <c r="P100" s="53">
        <f t="shared" ref="P100:P131" si="35">+O100-M100</f>
        <v>0</v>
      </c>
    </row>
    <row r="101" spans="1:16">
      <c r="B101" t="str">
        <f t="shared" si="31"/>
        <v/>
      </c>
      <c r="C101" s="49">
        <f>IF(D94="","-",+C100+1)</f>
        <v>2018</v>
      </c>
      <c r="D101" s="371">
        <v>87396515</v>
      </c>
      <c r="E101" s="373">
        <v>2427680.972222222</v>
      </c>
      <c r="F101" s="375">
        <v>84968834.027777776</v>
      </c>
      <c r="G101" s="375">
        <v>86182674.513888896</v>
      </c>
      <c r="H101" s="373">
        <v>11525335.163817437</v>
      </c>
      <c r="I101" s="374">
        <v>11525335.163817437</v>
      </c>
      <c r="J101" s="53">
        <f t="shared" si="32"/>
        <v>0</v>
      </c>
      <c r="K101" s="53"/>
      <c r="L101" s="376">
        <f t="shared" ref="L101:L106" si="36">H101</f>
        <v>11525335.163817437</v>
      </c>
      <c r="M101" s="53">
        <f t="shared" ref="M101:M106" si="37">IF(L101&lt;&gt;0,+H101-L101,0)</f>
        <v>0</v>
      </c>
      <c r="N101" s="376">
        <f t="shared" ref="N101:N106" si="38">I101</f>
        <v>11525335.163817437</v>
      </c>
      <c r="O101" s="53">
        <f>IF(N101&lt;&gt;0,+I101-N101,0)</f>
        <v>0</v>
      </c>
      <c r="P101" s="53">
        <f>+O101-M101</f>
        <v>0</v>
      </c>
    </row>
    <row r="102" spans="1:16">
      <c r="B102" t="str">
        <f t="shared" si="31"/>
        <v>IU</v>
      </c>
      <c r="C102" s="49">
        <f>IF(D94="","-",+C101+1)</f>
        <v>2019</v>
      </c>
      <c r="D102" s="371">
        <v>85829515.027777776</v>
      </c>
      <c r="E102" s="373">
        <v>2451588.777777778</v>
      </c>
      <c r="F102" s="375">
        <v>83377926.25</v>
      </c>
      <c r="G102" s="375">
        <v>84603720.638888896</v>
      </c>
      <c r="H102" s="373">
        <v>11382564.731313506</v>
      </c>
      <c r="I102" s="374">
        <v>11382564.731313506</v>
      </c>
      <c r="J102" s="53">
        <f t="shared" si="32"/>
        <v>0</v>
      </c>
      <c r="K102" s="53"/>
      <c r="L102" s="376">
        <f t="shared" si="36"/>
        <v>11382564.731313506</v>
      </c>
      <c r="M102" s="53">
        <f t="shared" si="37"/>
        <v>0</v>
      </c>
      <c r="N102" s="376">
        <f t="shared" si="38"/>
        <v>11382564.731313506</v>
      </c>
      <c r="O102" s="53">
        <f t="shared" si="34"/>
        <v>0</v>
      </c>
      <c r="P102" s="53">
        <f t="shared" si="35"/>
        <v>0</v>
      </c>
    </row>
    <row r="103" spans="1:16">
      <c r="B103" t="str">
        <f t="shared" si="31"/>
        <v>IU</v>
      </c>
      <c r="C103" s="49">
        <f>IF(D94="","-",+C102+1)</f>
        <v>2020</v>
      </c>
      <c r="D103" s="371">
        <v>82792963.25</v>
      </c>
      <c r="E103" s="373">
        <v>3131151.1785714286</v>
      </c>
      <c r="F103" s="375">
        <v>79661812.071428567</v>
      </c>
      <c r="G103" s="375">
        <v>81227387.660714284</v>
      </c>
      <c r="H103" s="373">
        <v>11774841.711765051</v>
      </c>
      <c r="I103" s="374">
        <v>11774841.711765051</v>
      </c>
      <c r="J103" s="53">
        <f t="shared" si="32"/>
        <v>0</v>
      </c>
      <c r="K103" s="53"/>
      <c r="L103" s="376">
        <f t="shared" si="36"/>
        <v>11774841.711765051</v>
      </c>
      <c r="M103" s="53">
        <f t="shared" si="37"/>
        <v>0</v>
      </c>
      <c r="N103" s="376">
        <f t="shared" si="38"/>
        <v>11774841.711765051</v>
      </c>
      <c r="O103" s="53">
        <f t="shared" si="34"/>
        <v>0</v>
      </c>
      <c r="P103" s="53">
        <f t="shared" si="35"/>
        <v>0</v>
      </c>
    </row>
    <row r="104" spans="1:16">
      <c r="B104" t="str">
        <f t="shared" si="31"/>
        <v>IU</v>
      </c>
      <c r="C104" s="49">
        <f>IF(D94="","-",+C103+1)</f>
        <v>2021</v>
      </c>
      <c r="D104" s="371">
        <v>79669058.071428567</v>
      </c>
      <c r="E104" s="373">
        <v>3507179.16</v>
      </c>
      <c r="F104" s="375">
        <v>76161878.911428571</v>
      </c>
      <c r="G104" s="375">
        <v>77915468.491428569</v>
      </c>
      <c r="H104" s="373">
        <v>12698244.677714044</v>
      </c>
      <c r="I104" s="374">
        <v>12698244.677714044</v>
      </c>
      <c r="J104" s="53">
        <f t="shared" si="32"/>
        <v>0</v>
      </c>
      <c r="K104" s="53"/>
      <c r="L104" s="376">
        <f t="shared" si="36"/>
        <v>12698244.677714044</v>
      </c>
      <c r="M104" s="53">
        <f t="shared" si="37"/>
        <v>0</v>
      </c>
      <c r="N104" s="376">
        <f t="shared" si="38"/>
        <v>12698244.677714044</v>
      </c>
      <c r="O104" s="53">
        <f t="shared" si="34"/>
        <v>0</v>
      </c>
      <c r="P104" s="53">
        <f t="shared" si="35"/>
        <v>0</v>
      </c>
    </row>
    <row r="105" spans="1:16">
      <c r="B105" t="str">
        <f t="shared" si="31"/>
        <v>IU</v>
      </c>
      <c r="C105" s="49">
        <f>IF(D94="","-",+C104+1)</f>
        <v>2022</v>
      </c>
      <c r="D105" s="371">
        <v>76643025.171428576</v>
      </c>
      <c r="E105" s="373">
        <v>4198125.0123809529</v>
      </c>
      <c r="F105" s="375">
        <v>72444900.159047619</v>
      </c>
      <c r="G105" s="375">
        <v>74543962.665238097</v>
      </c>
      <c r="H105" s="373">
        <v>12768147.416618753</v>
      </c>
      <c r="I105" s="374">
        <v>12768147.416618753</v>
      </c>
      <c r="J105" s="53">
        <f t="shared" si="32"/>
        <v>0</v>
      </c>
      <c r="K105" s="53"/>
      <c r="L105" s="376">
        <f t="shared" si="36"/>
        <v>12768147.416618753</v>
      </c>
      <c r="M105" s="53">
        <f t="shared" si="37"/>
        <v>0</v>
      </c>
      <c r="N105" s="376">
        <f t="shared" si="38"/>
        <v>12768147.416618753</v>
      </c>
      <c r="O105" s="53">
        <f t="shared" ref="O105" si="39">IF(N105&lt;&gt;0,+I105-N105,0)</f>
        <v>0</v>
      </c>
      <c r="P105" s="53">
        <f t="shared" ref="P105" si="40">+O105-M105</f>
        <v>0</v>
      </c>
    </row>
    <row r="106" spans="1:16">
      <c r="B106" t="str">
        <f t="shared" si="31"/>
        <v/>
      </c>
      <c r="C106" s="49">
        <f>IF(D94="","-",+C105+1)</f>
        <v>2023</v>
      </c>
      <c r="D106" s="371">
        <v>72444900.159047619</v>
      </c>
      <c r="E106" s="373">
        <v>4640032.9084210526</v>
      </c>
      <c r="F106" s="375">
        <v>67804867.250626564</v>
      </c>
      <c r="G106" s="375">
        <v>70124883.704837084</v>
      </c>
      <c r="H106" s="373">
        <v>12328115.642040271</v>
      </c>
      <c r="I106" s="374">
        <v>12328115.642040271</v>
      </c>
      <c r="J106" s="53">
        <f t="shared" si="32"/>
        <v>0</v>
      </c>
      <c r="K106" s="53"/>
      <c r="L106" s="376">
        <f t="shared" si="36"/>
        <v>12328115.642040271</v>
      </c>
      <c r="M106" s="53">
        <f t="shared" si="37"/>
        <v>0</v>
      </c>
      <c r="N106" s="376">
        <f t="shared" si="38"/>
        <v>12328115.642040271</v>
      </c>
      <c r="O106" s="53">
        <f t="shared" ref="O106" si="41">IF(N106&lt;&gt;0,+I106-N106,0)</f>
        <v>0</v>
      </c>
      <c r="P106" s="53">
        <f t="shared" ref="P106" si="42">+O106-M106</f>
        <v>0</v>
      </c>
    </row>
    <row r="107" spans="1:16">
      <c r="B107" t="str">
        <f t="shared" si="31"/>
        <v/>
      </c>
      <c r="C107" s="49">
        <f>IF(D94="","-",+C106+1)</f>
        <v>2024</v>
      </c>
      <c r="D107" s="371">
        <v>67804867.250626564</v>
      </c>
      <c r="E107" s="373">
        <v>5185919.1329411771</v>
      </c>
      <c r="F107" s="375">
        <v>62618948.117685385</v>
      </c>
      <c r="G107" s="375">
        <v>65211907.684155971</v>
      </c>
      <c r="H107" s="373">
        <v>12406520.990281601</v>
      </c>
      <c r="I107" s="374">
        <v>12406520.990281601</v>
      </c>
      <c r="J107" s="53">
        <f t="shared" si="32"/>
        <v>0</v>
      </c>
      <c r="K107" s="53"/>
      <c r="L107" s="376">
        <f t="shared" ref="L107" si="43">H107</f>
        <v>12406520.990281601</v>
      </c>
      <c r="M107" s="53">
        <f t="shared" ref="M107" si="44">IF(L107&lt;&gt;0,+H107-L107,0)</f>
        <v>0</v>
      </c>
      <c r="N107" s="376">
        <f t="shared" ref="N107" si="45">I107</f>
        <v>12406520.990281601</v>
      </c>
      <c r="O107" s="53">
        <f t="shared" ref="O107" si="46">IF(N107&lt;&gt;0,+I107-N107,0)</f>
        <v>0</v>
      </c>
      <c r="P107" s="53">
        <f t="shared" ref="P107" si="47">+O107-M107</f>
        <v>0</v>
      </c>
    </row>
    <row r="108" spans="1:16">
      <c r="B108" t="str">
        <f t="shared" si="31"/>
        <v/>
      </c>
      <c r="C108" s="49">
        <f>IF(D94="","-",+C107+1)</f>
        <v>2025</v>
      </c>
      <c r="D108" s="11">
        <f>IF(F107+SUM(E$100:E107)=D$93,F107,D$93-SUM(E$100:E107))</f>
        <v>62618948.117685385</v>
      </c>
      <c r="E108" s="377">
        <f t="shared" ref="E108:E132" si="48">IF(+J$97&lt;F107,J$97,D108)</f>
        <v>2755019.5393750002</v>
      </c>
      <c r="F108" s="54">
        <f t="shared" ref="F108:F131" si="49">+D108-E108</f>
        <v>59863928.578310385</v>
      </c>
      <c r="G108" s="54">
        <f t="shared" ref="G108:G131" si="50">+(F108+D108)/2</f>
        <v>61241438.347997889</v>
      </c>
      <c r="H108" s="459">
        <f t="shared" ref="H108:H155" si="51">(D108+F108)/2*J$95+E108</f>
        <v>9642535.4909605589</v>
      </c>
      <c r="I108" s="446">
        <f t="shared" ref="I108:I155" si="52">+J$96*G108+E108</f>
        <v>9642535.4909605589</v>
      </c>
      <c r="J108" s="53">
        <f t="shared" si="32"/>
        <v>0</v>
      </c>
      <c r="K108" s="53"/>
      <c r="L108" s="112"/>
      <c r="M108" s="53">
        <f t="shared" si="33"/>
        <v>0</v>
      </c>
      <c r="N108" s="112"/>
      <c r="O108" s="53">
        <f t="shared" si="34"/>
        <v>0</v>
      </c>
      <c r="P108" s="53">
        <f t="shared" si="35"/>
        <v>0</v>
      </c>
    </row>
    <row r="109" spans="1:16">
      <c r="B109" t="str">
        <f t="shared" si="31"/>
        <v/>
      </c>
      <c r="C109" s="49">
        <f>IF(D94="","-",+C108+1)</f>
        <v>2026</v>
      </c>
      <c r="D109" s="11">
        <f>IF(F108+SUM(E$100:E108)=D$93,F108,D$93-SUM(E$100:E108))</f>
        <v>59863928.578310385</v>
      </c>
      <c r="E109" s="377">
        <f t="shared" si="48"/>
        <v>2755019.5393750002</v>
      </c>
      <c r="F109" s="54">
        <f t="shared" si="49"/>
        <v>57108909.038935386</v>
      </c>
      <c r="G109" s="54">
        <f t="shared" si="50"/>
        <v>58486418.808622882</v>
      </c>
      <c r="H109" s="459">
        <f t="shared" si="51"/>
        <v>9332692.3269814476</v>
      </c>
      <c r="I109" s="446">
        <f t="shared" si="52"/>
        <v>9332692.3269814476</v>
      </c>
      <c r="J109" s="53">
        <f t="shared" si="32"/>
        <v>0</v>
      </c>
      <c r="K109" s="53"/>
      <c r="L109" s="112"/>
      <c r="M109" s="53">
        <f t="shared" si="33"/>
        <v>0</v>
      </c>
      <c r="N109" s="112"/>
      <c r="O109" s="53">
        <f t="shared" si="34"/>
        <v>0</v>
      </c>
      <c r="P109" s="53">
        <f t="shared" si="35"/>
        <v>0</v>
      </c>
    </row>
    <row r="110" spans="1:16">
      <c r="B110" t="str">
        <f t="shared" si="31"/>
        <v/>
      </c>
      <c r="C110" s="49">
        <f>IF(D94="","-",+C109+1)</f>
        <v>2027</v>
      </c>
      <c r="D110" s="11">
        <f>IF(F109+SUM(E$100:E109)=D$93,F109,D$93-SUM(E$100:E109))</f>
        <v>57108909.038935386</v>
      </c>
      <c r="E110" s="377">
        <f t="shared" si="48"/>
        <v>2755019.5393750002</v>
      </c>
      <c r="F110" s="54">
        <f t="shared" si="49"/>
        <v>54353889.499560386</v>
      </c>
      <c r="G110" s="54">
        <f t="shared" si="50"/>
        <v>55731399.26924789</v>
      </c>
      <c r="H110" s="459">
        <f t="shared" si="51"/>
        <v>9022849.1630023401</v>
      </c>
      <c r="I110" s="446">
        <f t="shared" si="52"/>
        <v>9022849.1630023401</v>
      </c>
      <c r="J110" s="53">
        <f t="shared" si="32"/>
        <v>0</v>
      </c>
      <c r="K110" s="53"/>
      <c r="L110" s="112"/>
      <c r="M110" s="53">
        <f t="shared" si="33"/>
        <v>0</v>
      </c>
      <c r="N110" s="112"/>
      <c r="O110" s="53">
        <f t="shared" si="34"/>
        <v>0</v>
      </c>
      <c r="P110" s="53">
        <f t="shared" si="35"/>
        <v>0</v>
      </c>
    </row>
    <row r="111" spans="1:16">
      <c r="B111" t="str">
        <f t="shared" si="31"/>
        <v/>
      </c>
      <c r="C111" s="49">
        <f>IF(D94="","-",+C110+1)</f>
        <v>2028</v>
      </c>
      <c r="D111" s="11">
        <f>IF(F110+SUM(E$100:E110)=D$93,F110,D$93-SUM(E$100:E110))</f>
        <v>54353889.499560386</v>
      </c>
      <c r="E111" s="377">
        <f t="shared" si="48"/>
        <v>2755019.5393750002</v>
      </c>
      <c r="F111" s="54">
        <f t="shared" si="49"/>
        <v>51598869.960185386</v>
      </c>
      <c r="G111" s="54">
        <f t="shared" si="50"/>
        <v>52976379.729872882</v>
      </c>
      <c r="H111" s="459">
        <f t="shared" si="51"/>
        <v>8713005.9990232307</v>
      </c>
      <c r="I111" s="446">
        <f t="shared" si="52"/>
        <v>8713005.9990232307</v>
      </c>
      <c r="J111" s="53">
        <f t="shared" si="32"/>
        <v>0</v>
      </c>
      <c r="K111" s="53"/>
      <c r="L111" s="112"/>
      <c r="M111" s="53">
        <f t="shared" si="33"/>
        <v>0</v>
      </c>
      <c r="N111" s="112"/>
      <c r="O111" s="53">
        <f t="shared" si="34"/>
        <v>0</v>
      </c>
      <c r="P111" s="53">
        <f t="shared" si="35"/>
        <v>0</v>
      </c>
    </row>
    <row r="112" spans="1:16">
      <c r="B112" t="str">
        <f t="shared" si="31"/>
        <v/>
      </c>
      <c r="C112" s="49">
        <f>IF(D94="","-",+C111+1)</f>
        <v>2029</v>
      </c>
      <c r="D112" s="11">
        <f>IF(F111+SUM(E$100:E111)=D$93,F111,D$93-SUM(E$100:E111))</f>
        <v>51598869.960185386</v>
      </c>
      <c r="E112" s="377">
        <f t="shared" si="48"/>
        <v>2755019.5393750002</v>
      </c>
      <c r="F112" s="54">
        <f t="shared" si="49"/>
        <v>48843850.420810387</v>
      </c>
      <c r="G112" s="54">
        <f t="shared" si="50"/>
        <v>50221360.19049789</v>
      </c>
      <c r="H112" s="459">
        <f t="shared" si="51"/>
        <v>8403162.8350441214</v>
      </c>
      <c r="I112" s="446">
        <f t="shared" si="52"/>
        <v>8403162.8350441214</v>
      </c>
      <c r="J112" s="53">
        <f t="shared" si="32"/>
        <v>0</v>
      </c>
      <c r="K112" s="53"/>
      <c r="L112" s="112"/>
      <c r="M112" s="53">
        <f t="shared" si="33"/>
        <v>0</v>
      </c>
      <c r="N112" s="112"/>
      <c r="O112" s="53">
        <f t="shared" si="34"/>
        <v>0</v>
      </c>
      <c r="P112" s="53">
        <f t="shared" si="35"/>
        <v>0</v>
      </c>
    </row>
    <row r="113" spans="2:16">
      <c r="B113" t="str">
        <f t="shared" si="31"/>
        <v/>
      </c>
      <c r="C113" s="49">
        <f>IF(D94="","-",+C112+1)</f>
        <v>2030</v>
      </c>
      <c r="D113" s="11">
        <f>IF(F112+SUM(E$100:E112)=D$93,F112,D$93-SUM(E$100:E112))</f>
        <v>48843850.420810387</v>
      </c>
      <c r="E113" s="377">
        <f t="shared" si="48"/>
        <v>2755019.5393750002</v>
      </c>
      <c r="F113" s="54">
        <f t="shared" si="49"/>
        <v>46088830.881435387</v>
      </c>
      <c r="G113" s="54">
        <f t="shared" si="50"/>
        <v>47466340.651122883</v>
      </c>
      <c r="H113" s="459">
        <f t="shared" si="51"/>
        <v>8093319.671065012</v>
      </c>
      <c r="I113" s="446">
        <f t="shared" si="52"/>
        <v>8093319.671065012</v>
      </c>
      <c r="J113" s="53">
        <f t="shared" si="32"/>
        <v>0</v>
      </c>
      <c r="K113" s="53"/>
      <c r="L113" s="112"/>
      <c r="M113" s="53">
        <f t="shared" si="33"/>
        <v>0</v>
      </c>
      <c r="N113" s="112"/>
      <c r="O113" s="53">
        <f t="shared" si="34"/>
        <v>0</v>
      </c>
      <c r="P113" s="53">
        <f t="shared" si="35"/>
        <v>0</v>
      </c>
    </row>
    <row r="114" spans="2:16">
      <c r="B114" t="str">
        <f t="shared" si="31"/>
        <v/>
      </c>
      <c r="C114" s="49">
        <f>IF(D94="","-",+C113+1)</f>
        <v>2031</v>
      </c>
      <c r="D114" s="11">
        <f>IF(F113+SUM(E$100:E113)=D$93,F113,D$93-SUM(E$100:E113))</f>
        <v>46088830.881435387</v>
      </c>
      <c r="E114" s="377">
        <f t="shared" si="48"/>
        <v>2755019.5393750002</v>
      </c>
      <c r="F114" s="54">
        <f t="shared" si="49"/>
        <v>43333811.342060387</v>
      </c>
      <c r="G114" s="54">
        <f t="shared" si="50"/>
        <v>44711321.111747891</v>
      </c>
      <c r="H114" s="459">
        <f t="shared" si="51"/>
        <v>7783476.5070859045</v>
      </c>
      <c r="I114" s="446">
        <f t="shared" si="52"/>
        <v>7783476.5070859045</v>
      </c>
      <c r="J114" s="53">
        <f t="shared" si="32"/>
        <v>0</v>
      </c>
      <c r="K114" s="53"/>
      <c r="L114" s="112"/>
      <c r="M114" s="53">
        <f t="shared" si="33"/>
        <v>0</v>
      </c>
      <c r="N114" s="112"/>
      <c r="O114" s="53">
        <f t="shared" si="34"/>
        <v>0</v>
      </c>
      <c r="P114" s="53">
        <f t="shared" si="35"/>
        <v>0</v>
      </c>
    </row>
    <row r="115" spans="2:16">
      <c r="B115" t="str">
        <f t="shared" si="31"/>
        <v/>
      </c>
      <c r="C115" s="49">
        <f>IF(D94="","-",+C114+1)</f>
        <v>2032</v>
      </c>
      <c r="D115" s="11">
        <f>IF(F114+SUM(E$100:E114)=D$93,F114,D$93-SUM(E$100:E114))</f>
        <v>43333811.342060387</v>
      </c>
      <c r="E115" s="377">
        <f t="shared" si="48"/>
        <v>2755019.5393750002</v>
      </c>
      <c r="F115" s="54">
        <f t="shared" si="49"/>
        <v>40578791.802685387</v>
      </c>
      <c r="G115" s="54">
        <f t="shared" si="50"/>
        <v>41956301.572372884</v>
      </c>
      <c r="H115" s="459">
        <f t="shared" si="51"/>
        <v>7473633.3431067932</v>
      </c>
      <c r="I115" s="446">
        <f t="shared" si="52"/>
        <v>7473633.3431067932</v>
      </c>
      <c r="J115" s="53">
        <f t="shared" si="32"/>
        <v>0</v>
      </c>
      <c r="K115" s="53"/>
      <c r="L115" s="112"/>
      <c r="M115" s="53">
        <f t="shared" si="33"/>
        <v>0</v>
      </c>
      <c r="N115" s="112"/>
      <c r="O115" s="53">
        <f t="shared" si="34"/>
        <v>0</v>
      </c>
      <c r="P115" s="53">
        <f t="shared" si="35"/>
        <v>0</v>
      </c>
    </row>
    <row r="116" spans="2:16">
      <c r="B116" t="str">
        <f t="shared" si="31"/>
        <v/>
      </c>
      <c r="C116" s="49">
        <f>IF(D94="","-",+C115+1)</f>
        <v>2033</v>
      </c>
      <c r="D116" s="11">
        <f>IF(F115+SUM(E$100:E115)=D$93,F115,D$93-SUM(E$100:E115))</f>
        <v>40578791.802685387</v>
      </c>
      <c r="E116" s="377">
        <f t="shared" si="48"/>
        <v>2755019.5393750002</v>
      </c>
      <c r="F116" s="54">
        <f t="shared" si="49"/>
        <v>37823772.263310388</v>
      </c>
      <c r="G116" s="54">
        <f t="shared" si="50"/>
        <v>39201282.032997891</v>
      </c>
      <c r="H116" s="459">
        <f t="shared" si="51"/>
        <v>7163790.1791276857</v>
      </c>
      <c r="I116" s="446">
        <f t="shared" si="52"/>
        <v>7163790.1791276857</v>
      </c>
      <c r="J116" s="53">
        <f t="shared" si="32"/>
        <v>0</v>
      </c>
      <c r="K116" s="53"/>
      <c r="L116" s="112"/>
      <c r="M116" s="53">
        <f t="shared" si="33"/>
        <v>0</v>
      </c>
      <c r="N116" s="112"/>
      <c r="O116" s="53">
        <f t="shared" si="34"/>
        <v>0</v>
      </c>
      <c r="P116" s="53">
        <f t="shared" si="35"/>
        <v>0</v>
      </c>
    </row>
    <row r="117" spans="2:16">
      <c r="B117" t="str">
        <f t="shared" si="31"/>
        <v/>
      </c>
      <c r="C117" s="49">
        <f>IF(D94="","-",+C116+1)</f>
        <v>2034</v>
      </c>
      <c r="D117" s="11">
        <f>IF(F116+SUM(E$100:E116)=D$93,F116,D$93-SUM(E$100:E116))</f>
        <v>37823772.263310388</v>
      </c>
      <c r="E117" s="377">
        <f t="shared" si="48"/>
        <v>2755019.5393750002</v>
      </c>
      <c r="F117" s="54">
        <f t="shared" si="49"/>
        <v>35068752.723935388</v>
      </c>
      <c r="G117" s="54">
        <f t="shared" si="50"/>
        <v>36446262.493622884</v>
      </c>
      <c r="H117" s="459">
        <f t="shared" si="51"/>
        <v>6853947.0151485763</v>
      </c>
      <c r="I117" s="446">
        <f t="shared" si="52"/>
        <v>6853947.0151485763</v>
      </c>
      <c r="J117" s="53">
        <f t="shared" si="32"/>
        <v>0</v>
      </c>
      <c r="K117" s="53"/>
      <c r="L117" s="112"/>
      <c r="M117" s="53">
        <f t="shared" si="33"/>
        <v>0</v>
      </c>
      <c r="N117" s="112"/>
      <c r="O117" s="53">
        <f t="shared" si="34"/>
        <v>0</v>
      </c>
      <c r="P117" s="53">
        <f t="shared" si="35"/>
        <v>0</v>
      </c>
    </row>
    <row r="118" spans="2:16">
      <c r="B118" t="str">
        <f t="shared" si="31"/>
        <v/>
      </c>
      <c r="C118" s="49">
        <f>IF(D94="","-",+C117+1)</f>
        <v>2035</v>
      </c>
      <c r="D118" s="11">
        <f>IF(F117+SUM(E$100:E117)=D$93,F117,D$93-SUM(E$100:E117))</f>
        <v>35068752.723935388</v>
      </c>
      <c r="E118" s="377">
        <f t="shared" si="48"/>
        <v>2755019.5393750002</v>
      </c>
      <c r="F118" s="54">
        <f t="shared" si="49"/>
        <v>32313733.184560388</v>
      </c>
      <c r="G118" s="54">
        <f t="shared" si="50"/>
        <v>33691242.954247892</v>
      </c>
      <c r="H118" s="459">
        <f t="shared" si="51"/>
        <v>6544103.8511694679</v>
      </c>
      <c r="I118" s="446">
        <f t="shared" si="52"/>
        <v>6544103.8511694679</v>
      </c>
      <c r="J118" s="53">
        <f t="shared" si="32"/>
        <v>0</v>
      </c>
      <c r="K118" s="53"/>
      <c r="L118" s="112"/>
      <c r="M118" s="53">
        <f t="shared" si="33"/>
        <v>0</v>
      </c>
      <c r="N118" s="112"/>
      <c r="O118" s="53">
        <f t="shared" si="34"/>
        <v>0</v>
      </c>
      <c r="P118" s="53">
        <f t="shared" si="35"/>
        <v>0</v>
      </c>
    </row>
    <row r="119" spans="2:16">
      <c r="B119" t="str">
        <f t="shared" si="31"/>
        <v/>
      </c>
      <c r="C119" s="49">
        <f>IF(D94="","-",+C118+1)</f>
        <v>2036</v>
      </c>
      <c r="D119" s="11">
        <f>IF(F118+SUM(E$100:E118)=D$93,F118,D$93-SUM(E$100:E118))</f>
        <v>32313733.184560388</v>
      </c>
      <c r="E119" s="377">
        <f t="shared" si="48"/>
        <v>2755019.5393750002</v>
      </c>
      <c r="F119" s="54">
        <f t="shared" si="49"/>
        <v>29558713.645185389</v>
      </c>
      <c r="G119" s="54">
        <f t="shared" si="50"/>
        <v>30936223.414872888</v>
      </c>
      <c r="H119" s="459">
        <f t="shared" si="51"/>
        <v>6234260.6871903576</v>
      </c>
      <c r="I119" s="446">
        <f t="shared" si="52"/>
        <v>6234260.6871903576</v>
      </c>
      <c r="J119" s="53">
        <f t="shared" si="32"/>
        <v>0</v>
      </c>
      <c r="K119" s="53"/>
      <c r="L119" s="112"/>
      <c r="M119" s="53">
        <f t="shared" si="33"/>
        <v>0</v>
      </c>
      <c r="N119" s="112"/>
      <c r="O119" s="53">
        <f t="shared" si="34"/>
        <v>0</v>
      </c>
      <c r="P119" s="53">
        <f t="shared" si="35"/>
        <v>0</v>
      </c>
    </row>
    <row r="120" spans="2:16">
      <c r="B120" t="str">
        <f t="shared" si="31"/>
        <v/>
      </c>
      <c r="C120" s="49">
        <f>IF(D94="","-",+C119+1)</f>
        <v>2037</v>
      </c>
      <c r="D120" s="11">
        <f>IF(F119+SUM(E$100:E119)=D$93,F119,D$93-SUM(E$100:E119))</f>
        <v>29558713.645185389</v>
      </c>
      <c r="E120" s="377">
        <f t="shared" si="48"/>
        <v>2755019.5393750002</v>
      </c>
      <c r="F120" s="54">
        <f t="shared" si="49"/>
        <v>26803694.105810389</v>
      </c>
      <c r="G120" s="54">
        <f t="shared" si="50"/>
        <v>28181203.875497889</v>
      </c>
      <c r="H120" s="459">
        <f t="shared" si="51"/>
        <v>5924417.5232112492</v>
      </c>
      <c r="I120" s="446">
        <f t="shared" si="52"/>
        <v>5924417.5232112492</v>
      </c>
      <c r="J120" s="53">
        <f t="shared" si="32"/>
        <v>0</v>
      </c>
      <c r="K120" s="53"/>
      <c r="L120" s="112"/>
      <c r="M120" s="53">
        <f t="shared" si="33"/>
        <v>0</v>
      </c>
      <c r="N120" s="112"/>
      <c r="O120" s="53">
        <f t="shared" si="34"/>
        <v>0</v>
      </c>
      <c r="P120" s="53">
        <f t="shared" si="35"/>
        <v>0</v>
      </c>
    </row>
    <row r="121" spans="2:16">
      <c r="B121" t="str">
        <f t="shared" si="31"/>
        <v/>
      </c>
      <c r="C121" s="49">
        <f>IF(D94="","-",+C120+1)</f>
        <v>2038</v>
      </c>
      <c r="D121" s="11">
        <f>IF(F120+SUM(E$100:E120)=D$93,F120,D$93-SUM(E$100:E120))</f>
        <v>26803694.105810389</v>
      </c>
      <c r="E121" s="377">
        <f t="shared" si="48"/>
        <v>2755019.5393750002</v>
      </c>
      <c r="F121" s="54">
        <f t="shared" si="49"/>
        <v>24048674.566435389</v>
      </c>
      <c r="G121" s="54">
        <f t="shared" si="50"/>
        <v>25426184.336122889</v>
      </c>
      <c r="H121" s="459">
        <f t="shared" si="51"/>
        <v>5614574.3592321407</v>
      </c>
      <c r="I121" s="446">
        <f t="shared" si="52"/>
        <v>5614574.3592321407</v>
      </c>
      <c r="J121" s="53">
        <f t="shared" si="32"/>
        <v>0</v>
      </c>
      <c r="K121" s="53"/>
      <c r="L121" s="112"/>
      <c r="M121" s="53">
        <f t="shared" si="33"/>
        <v>0</v>
      </c>
      <c r="N121" s="112"/>
      <c r="O121" s="53">
        <f t="shared" si="34"/>
        <v>0</v>
      </c>
      <c r="P121" s="53">
        <f t="shared" si="35"/>
        <v>0</v>
      </c>
    </row>
    <row r="122" spans="2:16">
      <c r="B122" t="str">
        <f t="shared" si="31"/>
        <v/>
      </c>
      <c r="C122" s="49">
        <f>IF(D94="","-",+C121+1)</f>
        <v>2039</v>
      </c>
      <c r="D122" s="11">
        <f>IF(F121+SUM(E$100:E121)=D$93,F121,D$93-SUM(E$100:E121))</f>
        <v>24048674.566435389</v>
      </c>
      <c r="E122" s="377">
        <f t="shared" si="48"/>
        <v>2755019.5393750002</v>
      </c>
      <c r="F122" s="54">
        <f t="shared" si="49"/>
        <v>21293655.02706039</v>
      </c>
      <c r="G122" s="54">
        <f t="shared" si="50"/>
        <v>22671164.796747889</v>
      </c>
      <c r="H122" s="459">
        <f t="shared" si="51"/>
        <v>5304731.1952530313</v>
      </c>
      <c r="I122" s="446">
        <f t="shared" si="52"/>
        <v>5304731.1952530313</v>
      </c>
      <c r="J122" s="53">
        <f t="shared" si="32"/>
        <v>0</v>
      </c>
      <c r="K122" s="53"/>
      <c r="L122" s="112"/>
      <c r="M122" s="53">
        <f t="shared" si="33"/>
        <v>0</v>
      </c>
      <c r="N122" s="112"/>
      <c r="O122" s="53">
        <f t="shared" si="34"/>
        <v>0</v>
      </c>
      <c r="P122" s="53">
        <f t="shared" si="35"/>
        <v>0</v>
      </c>
    </row>
    <row r="123" spans="2:16">
      <c r="B123" t="str">
        <f t="shared" si="31"/>
        <v/>
      </c>
      <c r="C123" s="49">
        <f>IF(D94="","-",+C122+1)</f>
        <v>2040</v>
      </c>
      <c r="D123" s="11">
        <f>IF(F122+SUM(E$100:E122)=D$93,F122,D$93-SUM(E$100:E122))</f>
        <v>21293655.02706039</v>
      </c>
      <c r="E123" s="377">
        <f t="shared" si="48"/>
        <v>2755019.5393750002</v>
      </c>
      <c r="F123" s="54">
        <f t="shared" si="49"/>
        <v>18538635.48768539</v>
      </c>
      <c r="G123" s="54">
        <f t="shared" si="50"/>
        <v>19916145.25737289</v>
      </c>
      <c r="H123" s="459">
        <f t="shared" si="51"/>
        <v>4994888.031273922</v>
      </c>
      <c r="I123" s="446">
        <f t="shared" si="52"/>
        <v>4994888.031273922</v>
      </c>
      <c r="J123" s="53">
        <f t="shared" si="32"/>
        <v>0</v>
      </c>
      <c r="K123" s="53"/>
      <c r="L123" s="112"/>
      <c r="M123" s="53">
        <f t="shared" si="33"/>
        <v>0</v>
      </c>
      <c r="N123" s="112"/>
      <c r="O123" s="53">
        <f t="shared" si="34"/>
        <v>0</v>
      </c>
      <c r="P123" s="53">
        <f t="shared" si="35"/>
        <v>0</v>
      </c>
    </row>
    <row r="124" spans="2:16">
      <c r="B124" t="str">
        <f t="shared" si="31"/>
        <v/>
      </c>
      <c r="C124" s="49">
        <f>IF(D94="","-",+C123+1)</f>
        <v>2041</v>
      </c>
      <c r="D124" s="11">
        <f>IF(F123+SUM(E$100:E123)=D$93,F123,D$93-SUM(E$100:E123))</f>
        <v>18538635.48768539</v>
      </c>
      <c r="E124" s="377">
        <f t="shared" si="48"/>
        <v>2755019.5393750002</v>
      </c>
      <c r="F124" s="54">
        <f t="shared" si="49"/>
        <v>15783615.94831039</v>
      </c>
      <c r="G124" s="54">
        <f t="shared" si="50"/>
        <v>17161125.71799789</v>
      </c>
      <c r="H124" s="459">
        <f t="shared" si="51"/>
        <v>4685044.8672948126</v>
      </c>
      <c r="I124" s="446">
        <f t="shared" si="52"/>
        <v>4685044.8672948126</v>
      </c>
      <c r="J124" s="53">
        <f t="shared" si="32"/>
        <v>0</v>
      </c>
      <c r="K124" s="53"/>
      <c r="L124" s="112"/>
      <c r="M124" s="53">
        <f t="shared" si="33"/>
        <v>0</v>
      </c>
      <c r="N124" s="112"/>
      <c r="O124" s="53">
        <f t="shared" si="34"/>
        <v>0</v>
      </c>
      <c r="P124" s="53">
        <f t="shared" si="35"/>
        <v>0</v>
      </c>
    </row>
    <row r="125" spans="2:16">
      <c r="B125" t="str">
        <f t="shared" si="31"/>
        <v/>
      </c>
      <c r="C125" s="49">
        <f>IF(D94="","-",+C124+1)</f>
        <v>2042</v>
      </c>
      <c r="D125" s="11">
        <f>IF(F124+SUM(E$100:E124)=D$93,F124,D$93-SUM(E$100:E124))</f>
        <v>15783615.94831039</v>
      </c>
      <c r="E125" s="377">
        <f t="shared" si="48"/>
        <v>2755019.5393750002</v>
      </c>
      <c r="F125" s="54">
        <f t="shared" si="49"/>
        <v>13028596.40893539</v>
      </c>
      <c r="G125" s="54">
        <f t="shared" si="50"/>
        <v>14406106.17862289</v>
      </c>
      <c r="H125" s="459">
        <f t="shared" si="51"/>
        <v>4375201.7033157041</v>
      </c>
      <c r="I125" s="446">
        <f t="shared" si="52"/>
        <v>4375201.7033157041</v>
      </c>
      <c r="J125" s="53">
        <f t="shared" si="32"/>
        <v>0</v>
      </c>
      <c r="K125" s="53"/>
      <c r="L125" s="112"/>
      <c r="M125" s="53">
        <f t="shared" si="33"/>
        <v>0</v>
      </c>
      <c r="N125" s="112"/>
      <c r="O125" s="53">
        <f t="shared" si="34"/>
        <v>0</v>
      </c>
      <c r="P125" s="53">
        <f t="shared" si="35"/>
        <v>0</v>
      </c>
    </row>
    <row r="126" spans="2:16">
      <c r="B126" t="str">
        <f t="shared" si="31"/>
        <v/>
      </c>
      <c r="C126" s="49">
        <f>IF(D94="","-",+C125+1)</f>
        <v>2043</v>
      </c>
      <c r="D126" s="11">
        <f>IF(F125+SUM(E$100:E125)=D$93,F125,D$93-SUM(E$100:E125))</f>
        <v>13028596.40893539</v>
      </c>
      <c r="E126" s="377">
        <f t="shared" si="48"/>
        <v>2755019.5393750002</v>
      </c>
      <c r="F126" s="54">
        <f t="shared" si="49"/>
        <v>10273576.869560391</v>
      </c>
      <c r="G126" s="54">
        <f t="shared" si="50"/>
        <v>11651086.639247891</v>
      </c>
      <c r="H126" s="459">
        <f t="shared" si="51"/>
        <v>4065358.5393365948</v>
      </c>
      <c r="I126" s="446">
        <f t="shared" si="52"/>
        <v>4065358.5393365948</v>
      </c>
      <c r="J126" s="53">
        <f t="shared" si="32"/>
        <v>0</v>
      </c>
      <c r="K126" s="53"/>
      <c r="L126" s="112"/>
      <c r="M126" s="53">
        <f t="shared" si="33"/>
        <v>0</v>
      </c>
      <c r="N126" s="112"/>
      <c r="O126" s="53">
        <f t="shared" si="34"/>
        <v>0</v>
      </c>
      <c r="P126" s="53">
        <f t="shared" si="35"/>
        <v>0</v>
      </c>
    </row>
    <row r="127" spans="2:16">
      <c r="B127" t="str">
        <f t="shared" si="31"/>
        <v/>
      </c>
      <c r="C127" s="49">
        <f>IF(D94="","-",+C126+1)</f>
        <v>2044</v>
      </c>
      <c r="D127" s="11">
        <f>IF(F126+SUM(E$100:E126)=D$93,F126,D$93-SUM(E$100:E126))</f>
        <v>10273576.869560391</v>
      </c>
      <c r="E127" s="377">
        <f t="shared" si="48"/>
        <v>2755019.5393750002</v>
      </c>
      <c r="F127" s="54">
        <f t="shared" si="49"/>
        <v>7518557.330185391</v>
      </c>
      <c r="G127" s="54">
        <f t="shared" si="50"/>
        <v>8896067.0998728909</v>
      </c>
      <c r="H127" s="459">
        <f t="shared" si="51"/>
        <v>3755515.3753574858</v>
      </c>
      <c r="I127" s="446">
        <f t="shared" si="52"/>
        <v>3755515.3753574858</v>
      </c>
      <c r="J127" s="53">
        <f t="shared" si="32"/>
        <v>0</v>
      </c>
      <c r="K127" s="53"/>
      <c r="L127" s="112"/>
      <c r="M127" s="53">
        <f t="shared" si="33"/>
        <v>0</v>
      </c>
      <c r="N127" s="112"/>
      <c r="O127" s="53">
        <f t="shared" si="34"/>
        <v>0</v>
      </c>
      <c r="P127" s="53">
        <f t="shared" si="35"/>
        <v>0</v>
      </c>
    </row>
    <row r="128" spans="2:16">
      <c r="B128" t="str">
        <f t="shared" si="31"/>
        <v/>
      </c>
      <c r="C128" s="49">
        <f>IF(D94="","-",+C127+1)</f>
        <v>2045</v>
      </c>
      <c r="D128" s="11">
        <f>IF(F127+SUM(E$100:E127)=D$93,F127,D$93-SUM(E$100:E127))</f>
        <v>7518557.330185391</v>
      </c>
      <c r="E128" s="377">
        <f t="shared" si="48"/>
        <v>2755019.5393750002</v>
      </c>
      <c r="F128" s="54">
        <f t="shared" si="49"/>
        <v>4763537.7908103913</v>
      </c>
      <c r="G128" s="54">
        <f t="shared" si="50"/>
        <v>6141047.5604978912</v>
      </c>
      <c r="H128" s="459">
        <f t="shared" si="51"/>
        <v>3445672.2113783769</v>
      </c>
      <c r="I128" s="446">
        <f t="shared" si="52"/>
        <v>3445672.2113783769</v>
      </c>
      <c r="J128" s="53">
        <f t="shared" si="32"/>
        <v>0</v>
      </c>
      <c r="K128" s="53"/>
      <c r="L128" s="112"/>
      <c r="M128" s="53">
        <f t="shared" si="33"/>
        <v>0</v>
      </c>
      <c r="N128" s="112"/>
      <c r="O128" s="53">
        <f t="shared" si="34"/>
        <v>0</v>
      </c>
      <c r="P128" s="53">
        <f t="shared" si="35"/>
        <v>0</v>
      </c>
    </row>
    <row r="129" spans="2:16">
      <c r="B129" t="str">
        <f t="shared" si="31"/>
        <v/>
      </c>
      <c r="C129" s="49">
        <f>IF(D94="","-",+C128+1)</f>
        <v>2046</v>
      </c>
      <c r="D129" s="11">
        <f>IF(F128+SUM(E$100:E128)=D$93,F128,D$93-SUM(E$100:E128))</f>
        <v>4763537.7908103913</v>
      </c>
      <c r="E129" s="377">
        <f t="shared" si="48"/>
        <v>2755019.5393750002</v>
      </c>
      <c r="F129" s="54">
        <f t="shared" si="49"/>
        <v>2008518.2514353911</v>
      </c>
      <c r="G129" s="54">
        <f t="shared" si="50"/>
        <v>3386028.0211228915</v>
      </c>
      <c r="H129" s="459">
        <f t="shared" si="51"/>
        <v>3135829.047399268</v>
      </c>
      <c r="I129" s="446">
        <f t="shared" si="52"/>
        <v>3135829.047399268</v>
      </c>
      <c r="J129" s="53">
        <f t="shared" si="32"/>
        <v>0</v>
      </c>
      <c r="K129" s="53"/>
      <c r="L129" s="112"/>
      <c r="M129" s="53">
        <f t="shared" si="33"/>
        <v>0</v>
      </c>
      <c r="N129" s="112"/>
      <c r="O129" s="53">
        <f t="shared" si="34"/>
        <v>0</v>
      </c>
      <c r="P129" s="53">
        <f t="shared" si="35"/>
        <v>0</v>
      </c>
    </row>
    <row r="130" spans="2:16">
      <c r="B130" t="str">
        <f t="shared" si="31"/>
        <v/>
      </c>
      <c r="C130" s="49">
        <f>IF(D94="","-",+C129+1)</f>
        <v>2047</v>
      </c>
      <c r="D130" s="11">
        <f>IF(F129+SUM(E$100:E129)=D$93,F129,D$93-SUM(E$100:E129))</f>
        <v>2008518.2514353911</v>
      </c>
      <c r="E130" s="377">
        <f t="shared" si="48"/>
        <v>2008518.2514353911</v>
      </c>
      <c r="F130" s="54">
        <f t="shared" si="49"/>
        <v>0</v>
      </c>
      <c r="G130" s="54">
        <f t="shared" si="50"/>
        <v>1004259.1257176956</v>
      </c>
      <c r="H130" s="459">
        <f t="shared" si="51"/>
        <v>2121462.2144527477</v>
      </c>
      <c r="I130" s="446">
        <f t="shared" si="52"/>
        <v>2121462.2144527477</v>
      </c>
      <c r="J130" s="53">
        <f t="shared" si="32"/>
        <v>0</v>
      </c>
      <c r="K130" s="53"/>
      <c r="L130" s="112"/>
      <c r="M130" s="53">
        <f t="shared" si="33"/>
        <v>0</v>
      </c>
      <c r="N130" s="112"/>
      <c r="O130" s="53">
        <f t="shared" si="34"/>
        <v>0</v>
      </c>
      <c r="P130" s="53">
        <f t="shared" si="35"/>
        <v>0</v>
      </c>
    </row>
    <row r="131" spans="2:16">
      <c r="B131" t="str">
        <f t="shared" si="31"/>
        <v/>
      </c>
      <c r="C131" s="49">
        <f>IF(D94="","-",+C130+1)</f>
        <v>2048</v>
      </c>
      <c r="D131" s="11">
        <f>IF(F130+SUM(E$100:E130)=D$93,F130,D$93-SUM(E$100:E130))</f>
        <v>0</v>
      </c>
      <c r="E131" s="377">
        <f t="shared" si="48"/>
        <v>0</v>
      </c>
      <c r="F131" s="54">
        <f t="shared" si="49"/>
        <v>0</v>
      </c>
      <c r="G131" s="54">
        <f t="shared" si="50"/>
        <v>0</v>
      </c>
      <c r="H131" s="459">
        <f t="shared" si="51"/>
        <v>0</v>
      </c>
      <c r="I131" s="446">
        <f t="shared" si="52"/>
        <v>0</v>
      </c>
      <c r="J131" s="53">
        <f t="shared" si="32"/>
        <v>0</v>
      </c>
      <c r="K131" s="53"/>
      <c r="L131" s="112"/>
      <c r="M131" s="53">
        <f t="shared" si="33"/>
        <v>0</v>
      </c>
      <c r="N131" s="112"/>
      <c r="O131" s="53">
        <f t="shared" si="34"/>
        <v>0</v>
      </c>
      <c r="P131" s="53">
        <f t="shared" si="35"/>
        <v>0</v>
      </c>
    </row>
    <row r="132" spans="2:16">
      <c r="B132" t="str">
        <f t="shared" si="31"/>
        <v/>
      </c>
      <c r="C132" s="49">
        <f>IF(D94="","-",+C131+1)</f>
        <v>2049</v>
      </c>
      <c r="D132" s="11">
        <f>IF(F131+SUM(E$100:E131)=D$93,F131,D$93-SUM(E$100:E131))</f>
        <v>0</v>
      </c>
      <c r="E132" s="377">
        <f t="shared" si="48"/>
        <v>0</v>
      </c>
      <c r="F132" s="54">
        <f t="shared" ref="F132:F155" si="53">+D132-E132</f>
        <v>0</v>
      </c>
      <c r="G132" s="54">
        <f t="shared" ref="G132:G155" si="54">+(F132+D132)/2</f>
        <v>0</v>
      </c>
      <c r="H132" s="459">
        <f t="shared" si="51"/>
        <v>0</v>
      </c>
      <c r="I132" s="446">
        <f t="shared" si="52"/>
        <v>0</v>
      </c>
      <c r="J132" s="53">
        <f t="shared" ref="J132:J155" si="55">+I542-H542</f>
        <v>0</v>
      </c>
      <c r="K132" s="53"/>
      <c r="L132" s="112"/>
      <c r="M132" s="53">
        <f t="shared" ref="M132:M155" si="56">IF(L542&lt;&gt;0,+H542-L542,0)</f>
        <v>0</v>
      </c>
      <c r="N132" s="112"/>
      <c r="O132" s="53">
        <f t="shared" ref="O132:O155" si="57">IF(N542&lt;&gt;0,+I542-N542,0)</f>
        <v>0</v>
      </c>
      <c r="P132" s="53">
        <f t="shared" ref="P132:P155" si="58">+O542-M542</f>
        <v>0</v>
      </c>
    </row>
    <row r="133" spans="2:16">
      <c r="B133" t="str">
        <f t="shared" si="31"/>
        <v/>
      </c>
      <c r="C133" s="49">
        <f>IF(D94="","-",+C132+1)</f>
        <v>2050</v>
      </c>
      <c r="D133" s="11">
        <f>IF(F132+SUM(E$100:E132)=D$93,F132,D$93-SUM(E$100:E132))</f>
        <v>0</v>
      </c>
      <c r="E133" s="377">
        <f t="shared" ref="E133:E155" si="59">IF(+J$97&lt;F132,J$97,D133)</f>
        <v>0</v>
      </c>
      <c r="F133" s="54">
        <f t="shared" si="53"/>
        <v>0</v>
      </c>
      <c r="G133" s="54">
        <f t="shared" si="54"/>
        <v>0</v>
      </c>
      <c r="H133" s="459">
        <f t="shared" si="51"/>
        <v>0</v>
      </c>
      <c r="I133" s="446">
        <f t="shared" si="52"/>
        <v>0</v>
      </c>
      <c r="J133" s="53">
        <f t="shared" si="55"/>
        <v>0</v>
      </c>
      <c r="K133" s="53"/>
      <c r="L133" s="112"/>
      <c r="M133" s="53">
        <f t="shared" si="56"/>
        <v>0</v>
      </c>
      <c r="N133" s="112"/>
      <c r="O133" s="53">
        <f t="shared" si="57"/>
        <v>0</v>
      </c>
      <c r="P133" s="53">
        <f t="shared" si="58"/>
        <v>0</v>
      </c>
    </row>
    <row r="134" spans="2:16">
      <c r="B134" t="str">
        <f t="shared" si="31"/>
        <v/>
      </c>
      <c r="C134" s="49">
        <f>IF(D94="","-",+C133+1)</f>
        <v>2051</v>
      </c>
      <c r="D134" s="11">
        <f>IF(F133+SUM(E$100:E133)=D$93,F133,D$93-SUM(E$100:E133))</f>
        <v>0</v>
      </c>
      <c r="E134" s="377">
        <f t="shared" si="59"/>
        <v>0</v>
      </c>
      <c r="F134" s="54">
        <f t="shared" si="53"/>
        <v>0</v>
      </c>
      <c r="G134" s="54">
        <f t="shared" si="54"/>
        <v>0</v>
      </c>
      <c r="H134" s="459">
        <f t="shared" si="51"/>
        <v>0</v>
      </c>
      <c r="I134" s="446">
        <f t="shared" si="52"/>
        <v>0</v>
      </c>
      <c r="J134" s="53">
        <f t="shared" si="55"/>
        <v>0</v>
      </c>
      <c r="K134" s="53"/>
      <c r="L134" s="112"/>
      <c r="M134" s="53">
        <f t="shared" si="56"/>
        <v>0</v>
      </c>
      <c r="N134" s="112"/>
      <c r="O134" s="53">
        <f t="shared" si="57"/>
        <v>0</v>
      </c>
      <c r="P134" s="53">
        <f t="shared" si="58"/>
        <v>0</v>
      </c>
    </row>
    <row r="135" spans="2:16">
      <c r="B135" t="str">
        <f t="shared" si="31"/>
        <v/>
      </c>
      <c r="C135" s="49">
        <f>IF(D94="","-",+C134+1)</f>
        <v>2052</v>
      </c>
      <c r="D135" s="11">
        <f>IF(F134+SUM(E$100:E134)=D$93,F134,D$93-SUM(E$100:E134))</f>
        <v>0</v>
      </c>
      <c r="E135" s="377">
        <f t="shared" si="59"/>
        <v>0</v>
      </c>
      <c r="F135" s="54">
        <f t="shared" si="53"/>
        <v>0</v>
      </c>
      <c r="G135" s="54">
        <f t="shared" si="54"/>
        <v>0</v>
      </c>
      <c r="H135" s="459">
        <f t="shared" si="51"/>
        <v>0</v>
      </c>
      <c r="I135" s="446">
        <f t="shared" si="52"/>
        <v>0</v>
      </c>
      <c r="J135" s="53">
        <f t="shared" si="55"/>
        <v>0</v>
      </c>
      <c r="K135" s="53"/>
      <c r="L135" s="112"/>
      <c r="M135" s="53">
        <f t="shared" si="56"/>
        <v>0</v>
      </c>
      <c r="N135" s="112"/>
      <c r="O135" s="53">
        <f t="shared" si="57"/>
        <v>0</v>
      </c>
      <c r="P135" s="53">
        <f t="shared" si="58"/>
        <v>0</v>
      </c>
    </row>
    <row r="136" spans="2:16">
      <c r="B136" t="str">
        <f t="shared" si="31"/>
        <v/>
      </c>
      <c r="C136" s="49">
        <f>IF(D94="","-",+C135+1)</f>
        <v>2053</v>
      </c>
      <c r="D136" s="11">
        <f>IF(F135+SUM(E$100:E135)=D$93,F135,D$93-SUM(E$100:E135))</f>
        <v>0</v>
      </c>
      <c r="E136" s="377">
        <f t="shared" si="59"/>
        <v>0</v>
      </c>
      <c r="F136" s="54">
        <f t="shared" si="53"/>
        <v>0</v>
      </c>
      <c r="G136" s="54">
        <f t="shared" si="54"/>
        <v>0</v>
      </c>
      <c r="H136" s="459">
        <f t="shared" si="51"/>
        <v>0</v>
      </c>
      <c r="I136" s="446">
        <f t="shared" si="52"/>
        <v>0</v>
      </c>
      <c r="J136" s="53">
        <f t="shared" si="55"/>
        <v>0</v>
      </c>
      <c r="K136" s="53"/>
      <c r="L136" s="112"/>
      <c r="M136" s="53">
        <f t="shared" si="56"/>
        <v>0</v>
      </c>
      <c r="N136" s="112"/>
      <c r="O136" s="53">
        <f t="shared" si="57"/>
        <v>0</v>
      </c>
      <c r="P136" s="53">
        <f t="shared" si="58"/>
        <v>0</v>
      </c>
    </row>
    <row r="137" spans="2:16">
      <c r="B137" t="str">
        <f t="shared" si="31"/>
        <v/>
      </c>
      <c r="C137" s="49">
        <f>IF(D94="","-",+C136+1)</f>
        <v>2054</v>
      </c>
      <c r="D137" s="11">
        <f>IF(F136+SUM(E$100:E136)=D$93,F136,D$93-SUM(E$100:E136))</f>
        <v>0</v>
      </c>
      <c r="E137" s="377">
        <f t="shared" si="59"/>
        <v>0</v>
      </c>
      <c r="F137" s="54">
        <f t="shared" si="53"/>
        <v>0</v>
      </c>
      <c r="G137" s="54">
        <f t="shared" si="54"/>
        <v>0</v>
      </c>
      <c r="H137" s="459">
        <f t="shared" si="51"/>
        <v>0</v>
      </c>
      <c r="I137" s="446">
        <f t="shared" si="52"/>
        <v>0</v>
      </c>
      <c r="J137" s="53">
        <f t="shared" si="55"/>
        <v>0</v>
      </c>
      <c r="K137" s="53"/>
      <c r="L137" s="112"/>
      <c r="M137" s="53">
        <f t="shared" si="56"/>
        <v>0</v>
      </c>
      <c r="N137" s="112"/>
      <c r="O137" s="53">
        <f t="shared" si="57"/>
        <v>0</v>
      </c>
      <c r="P137" s="53">
        <f t="shared" si="58"/>
        <v>0</v>
      </c>
    </row>
    <row r="138" spans="2:16">
      <c r="B138" t="str">
        <f t="shared" si="31"/>
        <v/>
      </c>
      <c r="C138" s="49">
        <f>IF(D94="","-",+C137+1)</f>
        <v>2055</v>
      </c>
      <c r="D138" s="11">
        <f>IF(F137+SUM(E$100:E137)=D$93,F137,D$93-SUM(E$100:E137))</f>
        <v>0</v>
      </c>
      <c r="E138" s="377">
        <f t="shared" si="59"/>
        <v>0</v>
      </c>
      <c r="F138" s="54">
        <f t="shared" si="53"/>
        <v>0</v>
      </c>
      <c r="G138" s="54">
        <f t="shared" si="54"/>
        <v>0</v>
      </c>
      <c r="H138" s="459">
        <f t="shared" si="51"/>
        <v>0</v>
      </c>
      <c r="I138" s="446">
        <f t="shared" si="52"/>
        <v>0</v>
      </c>
      <c r="J138" s="53">
        <f t="shared" si="55"/>
        <v>0</v>
      </c>
      <c r="K138" s="53"/>
      <c r="L138" s="112"/>
      <c r="M138" s="53">
        <f t="shared" si="56"/>
        <v>0</v>
      </c>
      <c r="N138" s="112"/>
      <c r="O138" s="53">
        <f t="shared" si="57"/>
        <v>0</v>
      </c>
      <c r="P138" s="53">
        <f t="shared" si="58"/>
        <v>0</v>
      </c>
    </row>
    <row r="139" spans="2:16">
      <c r="B139" t="str">
        <f t="shared" si="31"/>
        <v/>
      </c>
      <c r="C139" s="49">
        <f>IF(D94="","-",+C138+1)</f>
        <v>2056</v>
      </c>
      <c r="D139" s="11">
        <f>IF(F138+SUM(E$100:E138)=D$93,F138,D$93-SUM(E$100:E138))</f>
        <v>0</v>
      </c>
      <c r="E139" s="377">
        <f t="shared" si="59"/>
        <v>0</v>
      </c>
      <c r="F139" s="54">
        <f t="shared" si="53"/>
        <v>0</v>
      </c>
      <c r="G139" s="54">
        <f t="shared" si="54"/>
        <v>0</v>
      </c>
      <c r="H139" s="459">
        <f t="shared" si="51"/>
        <v>0</v>
      </c>
      <c r="I139" s="446">
        <f t="shared" si="52"/>
        <v>0</v>
      </c>
      <c r="J139" s="53">
        <f t="shared" si="55"/>
        <v>0</v>
      </c>
      <c r="K139" s="53"/>
      <c r="L139" s="112"/>
      <c r="M139" s="53">
        <f t="shared" si="56"/>
        <v>0</v>
      </c>
      <c r="N139" s="112"/>
      <c r="O139" s="53">
        <f t="shared" si="57"/>
        <v>0</v>
      </c>
      <c r="P139" s="53">
        <f t="shared" si="58"/>
        <v>0</v>
      </c>
    </row>
    <row r="140" spans="2:16">
      <c r="B140" t="str">
        <f t="shared" si="31"/>
        <v/>
      </c>
      <c r="C140" s="49">
        <f>IF(D94="","-",+C139+1)</f>
        <v>2057</v>
      </c>
      <c r="D140" s="11">
        <f>IF(F139+SUM(E$100:E139)=D$93,F139,D$93-SUM(E$100:E139))</f>
        <v>0</v>
      </c>
      <c r="E140" s="377">
        <f t="shared" si="59"/>
        <v>0</v>
      </c>
      <c r="F140" s="54">
        <f t="shared" si="53"/>
        <v>0</v>
      </c>
      <c r="G140" s="54">
        <f t="shared" si="54"/>
        <v>0</v>
      </c>
      <c r="H140" s="459">
        <f t="shared" si="51"/>
        <v>0</v>
      </c>
      <c r="I140" s="446">
        <f t="shared" si="52"/>
        <v>0</v>
      </c>
      <c r="J140" s="53">
        <f t="shared" si="55"/>
        <v>0</v>
      </c>
      <c r="K140" s="53"/>
      <c r="L140" s="112"/>
      <c r="M140" s="53">
        <f t="shared" si="56"/>
        <v>0</v>
      </c>
      <c r="N140" s="112"/>
      <c r="O140" s="53">
        <f t="shared" si="57"/>
        <v>0</v>
      </c>
      <c r="P140" s="53">
        <f t="shared" si="58"/>
        <v>0</v>
      </c>
    </row>
    <row r="141" spans="2:16">
      <c r="B141" t="str">
        <f t="shared" si="31"/>
        <v/>
      </c>
      <c r="C141" s="49">
        <f>IF(D94="","-",+C140+1)</f>
        <v>2058</v>
      </c>
      <c r="D141" s="11">
        <f>IF(F140+SUM(E$100:E140)=D$93,F140,D$93-SUM(E$100:E140))</f>
        <v>0</v>
      </c>
      <c r="E141" s="377">
        <f t="shared" si="59"/>
        <v>0</v>
      </c>
      <c r="F141" s="54">
        <f t="shared" si="53"/>
        <v>0</v>
      </c>
      <c r="G141" s="54">
        <f t="shared" si="54"/>
        <v>0</v>
      </c>
      <c r="H141" s="459">
        <f t="shared" si="51"/>
        <v>0</v>
      </c>
      <c r="I141" s="446">
        <f t="shared" si="52"/>
        <v>0</v>
      </c>
      <c r="J141" s="53">
        <f t="shared" si="55"/>
        <v>0</v>
      </c>
      <c r="K141" s="53"/>
      <c r="L141" s="112"/>
      <c r="M141" s="53">
        <f t="shared" si="56"/>
        <v>0</v>
      </c>
      <c r="N141" s="112"/>
      <c r="O141" s="53">
        <f t="shared" si="57"/>
        <v>0</v>
      </c>
      <c r="P141" s="53">
        <f t="shared" si="58"/>
        <v>0</v>
      </c>
    </row>
    <row r="142" spans="2:16">
      <c r="B142" t="str">
        <f t="shared" si="31"/>
        <v/>
      </c>
      <c r="C142" s="49">
        <f>IF(D94="","-",+C141+1)</f>
        <v>2059</v>
      </c>
      <c r="D142" s="11">
        <f>IF(F141+SUM(E$100:E141)=D$93,F141,D$93-SUM(E$100:E141))</f>
        <v>0</v>
      </c>
      <c r="E142" s="377">
        <f t="shared" si="59"/>
        <v>0</v>
      </c>
      <c r="F142" s="54">
        <f t="shared" si="53"/>
        <v>0</v>
      </c>
      <c r="G142" s="54">
        <f t="shared" si="54"/>
        <v>0</v>
      </c>
      <c r="H142" s="459">
        <f t="shared" si="51"/>
        <v>0</v>
      </c>
      <c r="I142" s="446">
        <f t="shared" si="52"/>
        <v>0</v>
      </c>
      <c r="J142" s="53">
        <f t="shared" si="55"/>
        <v>0</v>
      </c>
      <c r="K142" s="53"/>
      <c r="L142" s="112"/>
      <c r="M142" s="53">
        <f t="shared" si="56"/>
        <v>0</v>
      </c>
      <c r="N142" s="112"/>
      <c r="O142" s="53">
        <f t="shared" si="57"/>
        <v>0</v>
      </c>
      <c r="P142" s="53">
        <f t="shared" si="58"/>
        <v>0</v>
      </c>
    </row>
    <row r="143" spans="2:16">
      <c r="B143" t="str">
        <f t="shared" si="31"/>
        <v/>
      </c>
      <c r="C143" s="49">
        <f>IF(D94="","-",+C142+1)</f>
        <v>2060</v>
      </c>
      <c r="D143" s="11">
        <f>IF(F142+SUM(E$100:E142)=D$93,F142,D$93-SUM(E$100:E142))</f>
        <v>0</v>
      </c>
      <c r="E143" s="377">
        <f t="shared" si="59"/>
        <v>0</v>
      </c>
      <c r="F143" s="54">
        <f t="shared" si="53"/>
        <v>0</v>
      </c>
      <c r="G143" s="54">
        <f t="shared" si="54"/>
        <v>0</v>
      </c>
      <c r="H143" s="459">
        <f t="shared" si="51"/>
        <v>0</v>
      </c>
      <c r="I143" s="446">
        <f t="shared" si="52"/>
        <v>0</v>
      </c>
      <c r="J143" s="53">
        <f t="shared" si="55"/>
        <v>0</v>
      </c>
      <c r="K143" s="53"/>
      <c r="L143" s="112"/>
      <c r="M143" s="53">
        <f t="shared" si="56"/>
        <v>0</v>
      </c>
      <c r="N143" s="112"/>
      <c r="O143" s="53">
        <f t="shared" si="57"/>
        <v>0</v>
      </c>
      <c r="P143" s="53">
        <f t="shared" si="58"/>
        <v>0</v>
      </c>
    </row>
    <row r="144" spans="2:16">
      <c r="B144" t="str">
        <f t="shared" si="31"/>
        <v/>
      </c>
      <c r="C144" s="49">
        <f>IF(D94="","-",+C143+1)</f>
        <v>2061</v>
      </c>
      <c r="D144" s="11">
        <f>IF(F143+SUM(E$100:E143)=D$93,F143,D$93-SUM(E$100:E143))</f>
        <v>0</v>
      </c>
      <c r="E144" s="377">
        <f t="shared" si="59"/>
        <v>0</v>
      </c>
      <c r="F144" s="54">
        <f t="shared" si="53"/>
        <v>0</v>
      </c>
      <c r="G144" s="54">
        <f t="shared" si="54"/>
        <v>0</v>
      </c>
      <c r="H144" s="459">
        <f t="shared" si="51"/>
        <v>0</v>
      </c>
      <c r="I144" s="446">
        <f t="shared" si="52"/>
        <v>0</v>
      </c>
      <c r="J144" s="53">
        <f t="shared" si="55"/>
        <v>0</v>
      </c>
      <c r="K144" s="53"/>
      <c r="L144" s="112"/>
      <c r="M144" s="53">
        <f t="shared" si="56"/>
        <v>0</v>
      </c>
      <c r="N144" s="112"/>
      <c r="O144" s="53">
        <f t="shared" si="57"/>
        <v>0</v>
      </c>
      <c r="P144" s="53">
        <f t="shared" si="58"/>
        <v>0</v>
      </c>
    </row>
    <row r="145" spans="2:16">
      <c r="B145" t="str">
        <f t="shared" si="31"/>
        <v/>
      </c>
      <c r="C145" s="49">
        <f>IF(D94="","-",+C144+1)</f>
        <v>2062</v>
      </c>
      <c r="D145" s="11">
        <f>IF(F144+SUM(E$100:E144)=D$93,F144,D$93-SUM(E$100:E144))</f>
        <v>0</v>
      </c>
      <c r="E145" s="377">
        <f t="shared" si="59"/>
        <v>0</v>
      </c>
      <c r="F145" s="54">
        <f t="shared" si="53"/>
        <v>0</v>
      </c>
      <c r="G145" s="54">
        <f t="shared" si="54"/>
        <v>0</v>
      </c>
      <c r="H145" s="459">
        <f t="shared" si="51"/>
        <v>0</v>
      </c>
      <c r="I145" s="446">
        <f t="shared" si="52"/>
        <v>0</v>
      </c>
      <c r="J145" s="53">
        <f t="shared" si="55"/>
        <v>0</v>
      </c>
      <c r="K145" s="53"/>
      <c r="L145" s="112"/>
      <c r="M145" s="53">
        <f t="shared" si="56"/>
        <v>0</v>
      </c>
      <c r="N145" s="112"/>
      <c r="O145" s="53">
        <f t="shared" si="57"/>
        <v>0</v>
      </c>
      <c r="P145" s="53">
        <f t="shared" si="58"/>
        <v>0</v>
      </c>
    </row>
    <row r="146" spans="2:16">
      <c r="B146" t="str">
        <f t="shared" si="31"/>
        <v/>
      </c>
      <c r="C146" s="49">
        <f>IF(D94="","-",+C145+1)</f>
        <v>2063</v>
      </c>
      <c r="D146" s="11">
        <f>IF(F145+SUM(E$100:E145)=D$93,F145,D$93-SUM(E$100:E145))</f>
        <v>0</v>
      </c>
      <c r="E146" s="377">
        <f t="shared" si="59"/>
        <v>0</v>
      </c>
      <c r="F146" s="54">
        <f t="shared" si="53"/>
        <v>0</v>
      </c>
      <c r="G146" s="54">
        <f t="shared" si="54"/>
        <v>0</v>
      </c>
      <c r="H146" s="459">
        <f t="shared" si="51"/>
        <v>0</v>
      </c>
      <c r="I146" s="446">
        <f t="shared" si="52"/>
        <v>0</v>
      </c>
      <c r="J146" s="53">
        <f t="shared" si="55"/>
        <v>0</v>
      </c>
      <c r="K146" s="53"/>
      <c r="L146" s="112"/>
      <c r="M146" s="53">
        <f t="shared" si="56"/>
        <v>0</v>
      </c>
      <c r="N146" s="112"/>
      <c r="O146" s="53">
        <f t="shared" si="57"/>
        <v>0</v>
      </c>
      <c r="P146" s="53">
        <f t="shared" si="58"/>
        <v>0</v>
      </c>
    </row>
    <row r="147" spans="2:16">
      <c r="B147" t="str">
        <f t="shared" si="31"/>
        <v/>
      </c>
      <c r="C147" s="49">
        <f>IF(D94="","-",+C146+1)</f>
        <v>2064</v>
      </c>
      <c r="D147" s="11">
        <f>IF(F146+SUM(E$100:E146)=D$93,F146,D$93-SUM(E$100:E146))</f>
        <v>0</v>
      </c>
      <c r="E147" s="377">
        <f t="shared" si="59"/>
        <v>0</v>
      </c>
      <c r="F147" s="54">
        <f t="shared" si="53"/>
        <v>0</v>
      </c>
      <c r="G147" s="54">
        <f t="shared" si="54"/>
        <v>0</v>
      </c>
      <c r="H147" s="459">
        <f t="shared" si="51"/>
        <v>0</v>
      </c>
      <c r="I147" s="446">
        <f t="shared" si="52"/>
        <v>0</v>
      </c>
      <c r="J147" s="53">
        <f t="shared" si="55"/>
        <v>0</v>
      </c>
      <c r="K147" s="53"/>
      <c r="L147" s="112"/>
      <c r="M147" s="53">
        <f t="shared" si="56"/>
        <v>0</v>
      </c>
      <c r="N147" s="112"/>
      <c r="O147" s="53">
        <f t="shared" si="57"/>
        <v>0</v>
      </c>
      <c r="P147" s="53">
        <f t="shared" si="58"/>
        <v>0</v>
      </c>
    </row>
    <row r="148" spans="2:16">
      <c r="B148" t="str">
        <f t="shared" si="31"/>
        <v/>
      </c>
      <c r="C148" s="49">
        <f>IF(D94="","-",+C147+1)</f>
        <v>2065</v>
      </c>
      <c r="D148" s="11">
        <f>IF(F147+SUM(E$100:E147)=D$93,F147,D$93-SUM(E$100:E147))</f>
        <v>0</v>
      </c>
      <c r="E148" s="377">
        <f t="shared" si="59"/>
        <v>0</v>
      </c>
      <c r="F148" s="54">
        <f t="shared" si="53"/>
        <v>0</v>
      </c>
      <c r="G148" s="54">
        <f t="shared" si="54"/>
        <v>0</v>
      </c>
      <c r="H148" s="459">
        <f t="shared" si="51"/>
        <v>0</v>
      </c>
      <c r="I148" s="446">
        <f t="shared" si="52"/>
        <v>0</v>
      </c>
      <c r="J148" s="53">
        <f t="shared" si="55"/>
        <v>0</v>
      </c>
      <c r="K148" s="53"/>
      <c r="L148" s="112"/>
      <c r="M148" s="53">
        <f t="shared" si="56"/>
        <v>0</v>
      </c>
      <c r="N148" s="112"/>
      <c r="O148" s="53">
        <f t="shared" si="57"/>
        <v>0</v>
      </c>
      <c r="P148" s="53">
        <f t="shared" si="58"/>
        <v>0</v>
      </c>
    </row>
    <row r="149" spans="2:16">
      <c r="B149" t="str">
        <f t="shared" si="31"/>
        <v/>
      </c>
      <c r="C149" s="49">
        <f>IF(D94="","-",+C148+1)</f>
        <v>2066</v>
      </c>
      <c r="D149" s="11">
        <f>IF(F148+SUM(E$100:E148)=D$93,F148,D$93-SUM(E$100:E148))</f>
        <v>0</v>
      </c>
      <c r="E149" s="377">
        <f t="shared" si="59"/>
        <v>0</v>
      </c>
      <c r="F149" s="54">
        <f t="shared" si="53"/>
        <v>0</v>
      </c>
      <c r="G149" s="54">
        <f t="shared" si="54"/>
        <v>0</v>
      </c>
      <c r="H149" s="459">
        <f t="shared" si="51"/>
        <v>0</v>
      </c>
      <c r="I149" s="446">
        <f t="shared" si="52"/>
        <v>0</v>
      </c>
      <c r="J149" s="53">
        <f t="shared" si="55"/>
        <v>0</v>
      </c>
      <c r="K149" s="53"/>
      <c r="L149" s="112"/>
      <c r="M149" s="53">
        <f t="shared" si="56"/>
        <v>0</v>
      </c>
      <c r="N149" s="112"/>
      <c r="O149" s="53">
        <f t="shared" si="57"/>
        <v>0</v>
      </c>
      <c r="P149" s="53">
        <f t="shared" si="58"/>
        <v>0</v>
      </c>
    </row>
    <row r="150" spans="2:16">
      <c r="B150" t="str">
        <f t="shared" si="31"/>
        <v/>
      </c>
      <c r="C150" s="49">
        <f>IF(D94="","-",+C149+1)</f>
        <v>2067</v>
      </c>
      <c r="D150" s="11">
        <f>IF(F149+SUM(E$100:E149)=D$93,F149,D$93-SUM(E$100:E149))</f>
        <v>0</v>
      </c>
      <c r="E150" s="377">
        <f t="shared" si="59"/>
        <v>0</v>
      </c>
      <c r="F150" s="54">
        <f t="shared" si="53"/>
        <v>0</v>
      </c>
      <c r="G150" s="54">
        <f t="shared" si="54"/>
        <v>0</v>
      </c>
      <c r="H150" s="459">
        <f t="shared" si="51"/>
        <v>0</v>
      </c>
      <c r="I150" s="446">
        <f t="shared" si="52"/>
        <v>0</v>
      </c>
      <c r="J150" s="53">
        <f t="shared" si="55"/>
        <v>0</v>
      </c>
      <c r="K150" s="53"/>
      <c r="L150" s="112"/>
      <c r="M150" s="53">
        <f t="shared" si="56"/>
        <v>0</v>
      </c>
      <c r="N150" s="112"/>
      <c r="O150" s="53">
        <f t="shared" si="57"/>
        <v>0</v>
      </c>
      <c r="P150" s="53">
        <f t="shared" si="58"/>
        <v>0</v>
      </c>
    </row>
    <row r="151" spans="2:16">
      <c r="B151" t="str">
        <f t="shared" si="31"/>
        <v/>
      </c>
      <c r="C151" s="49">
        <f>IF(D94="","-",+C150+1)</f>
        <v>2068</v>
      </c>
      <c r="D151" s="11">
        <f>IF(F150+SUM(E$100:E150)=D$93,F150,D$93-SUM(E$100:E150))</f>
        <v>0</v>
      </c>
      <c r="E151" s="377">
        <f t="shared" si="59"/>
        <v>0</v>
      </c>
      <c r="F151" s="54">
        <f t="shared" si="53"/>
        <v>0</v>
      </c>
      <c r="G151" s="54">
        <f t="shared" si="54"/>
        <v>0</v>
      </c>
      <c r="H151" s="459">
        <f t="shared" si="51"/>
        <v>0</v>
      </c>
      <c r="I151" s="446">
        <f t="shared" si="52"/>
        <v>0</v>
      </c>
      <c r="J151" s="53">
        <f t="shared" si="55"/>
        <v>0</v>
      </c>
      <c r="K151" s="53"/>
      <c r="L151" s="112"/>
      <c r="M151" s="53">
        <f t="shared" si="56"/>
        <v>0</v>
      </c>
      <c r="N151" s="112"/>
      <c r="O151" s="53">
        <f t="shared" si="57"/>
        <v>0</v>
      </c>
      <c r="P151" s="53">
        <f t="shared" si="58"/>
        <v>0</v>
      </c>
    </row>
    <row r="152" spans="2:16">
      <c r="B152" t="str">
        <f t="shared" si="31"/>
        <v/>
      </c>
      <c r="C152" s="49">
        <f>IF(D94="","-",+C151+1)</f>
        <v>2069</v>
      </c>
      <c r="D152" s="11">
        <f>IF(F151+SUM(E$100:E151)=D$93,F151,D$93-SUM(E$100:E151))</f>
        <v>0</v>
      </c>
      <c r="E152" s="377">
        <f t="shared" si="59"/>
        <v>0</v>
      </c>
      <c r="F152" s="54">
        <f t="shared" si="53"/>
        <v>0</v>
      </c>
      <c r="G152" s="54">
        <f t="shared" si="54"/>
        <v>0</v>
      </c>
      <c r="H152" s="459">
        <f t="shared" si="51"/>
        <v>0</v>
      </c>
      <c r="I152" s="446">
        <f t="shared" si="52"/>
        <v>0</v>
      </c>
      <c r="J152" s="53">
        <f t="shared" si="55"/>
        <v>0</v>
      </c>
      <c r="K152" s="53"/>
      <c r="L152" s="112"/>
      <c r="M152" s="53">
        <f t="shared" si="56"/>
        <v>0</v>
      </c>
      <c r="N152" s="112"/>
      <c r="O152" s="53">
        <f t="shared" si="57"/>
        <v>0</v>
      </c>
      <c r="P152" s="53">
        <f t="shared" si="58"/>
        <v>0</v>
      </c>
    </row>
    <row r="153" spans="2:16">
      <c r="B153" t="str">
        <f t="shared" si="31"/>
        <v/>
      </c>
      <c r="C153" s="49">
        <f>IF(D94="","-",+C152+1)</f>
        <v>2070</v>
      </c>
      <c r="D153" s="11">
        <f>IF(F152+SUM(E$100:E152)=D$93,F152,D$93-SUM(E$100:E152))</f>
        <v>0</v>
      </c>
      <c r="E153" s="377">
        <f t="shared" si="59"/>
        <v>0</v>
      </c>
      <c r="F153" s="54">
        <f t="shared" si="53"/>
        <v>0</v>
      </c>
      <c r="G153" s="54">
        <f t="shared" si="54"/>
        <v>0</v>
      </c>
      <c r="H153" s="459">
        <f t="shared" si="51"/>
        <v>0</v>
      </c>
      <c r="I153" s="446">
        <f t="shared" si="52"/>
        <v>0</v>
      </c>
      <c r="J153" s="53">
        <f t="shared" si="55"/>
        <v>0</v>
      </c>
      <c r="K153" s="53"/>
      <c r="L153" s="112"/>
      <c r="M153" s="53">
        <f t="shared" si="56"/>
        <v>0</v>
      </c>
      <c r="N153" s="112"/>
      <c r="O153" s="53">
        <f t="shared" si="57"/>
        <v>0</v>
      </c>
      <c r="P153" s="53">
        <f t="shared" si="58"/>
        <v>0</v>
      </c>
    </row>
    <row r="154" spans="2:16">
      <c r="B154" t="str">
        <f t="shared" si="31"/>
        <v/>
      </c>
      <c r="C154" s="49">
        <f>IF(D94="","-",+C153+1)</f>
        <v>2071</v>
      </c>
      <c r="D154" s="11">
        <f>IF(F153+SUM(E$100:E153)=D$93,F153,D$93-SUM(E$100:E153))</f>
        <v>0</v>
      </c>
      <c r="E154" s="377">
        <f t="shared" si="59"/>
        <v>0</v>
      </c>
      <c r="F154" s="54">
        <f t="shared" si="53"/>
        <v>0</v>
      </c>
      <c r="G154" s="54">
        <f t="shared" si="54"/>
        <v>0</v>
      </c>
      <c r="H154" s="459">
        <f t="shared" si="51"/>
        <v>0</v>
      </c>
      <c r="I154" s="446">
        <f t="shared" si="52"/>
        <v>0</v>
      </c>
      <c r="J154" s="53">
        <f t="shared" si="55"/>
        <v>0</v>
      </c>
      <c r="K154" s="53"/>
      <c r="L154" s="112"/>
      <c r="M154" s="53">
        <f t="shared" si="56"/>
        <v>0</v>
      </c>
      <c r="N154" s="112"/>
      <c r="O154" s="53">
        <f t="shared" si="57"/>
        <v>0</v>
      </c>
      <c r="P154" s="53">
        <f t="shared" si="58"/>
        <v>0</v>
      </c>
    </row>
    <row r="155" spans="2:16" ht="13.5" thickBot="1">
      <c r="B155" t="str">
        <f t="shared" si="31"/>
        <v/>
      </c>
      <c r="C155" s="58">
        <f>IF(D94="","-",+C154+1)</f>
        <v>2072</v>
      </c>
      <c r="D155" s="82">
        <f>IF(F154+SUM(E$100:E154)=D$93,F154,D$93-SUM(E$100:E154))</f>
        <v>0</v>
      </c>
      <c r="E155" s="389">
        <f t="shared" si="59"/>
        <v>0</v>
      </c>
      <c r="F155" s="59">
        <f t="shared" si="53"/>
        <v>0</v>
      </c>
      <c r="G155" s="59">
        <f t="shared" si="54"/>
        <v>0</v>
      </c>
      <c r="H155" s="459">
        <f t="shared" si="51"/>
        <v>0</v>
      </c>
      <c r="I155" s="443">
        <f t="shared" si="52"/>
        <v>0</v>
      </c>
      <c r="J155" s="63">
        <f t="shared" si="55"/>
        <v>0</v>
      </c>
      <c r="K155" s="53"/>
      <c r="L155" s="113"/>
      <c r="M155" s="63">
        <f t="shared" si="56"/>
        <v>0</v>
      </c>
      <c r="N155" s="113"/>
      <c r="O155" s="63">
        <f t="shared" si="57"/>
        <v>0</v>
      </c>
      <c r="P155" s="63">
        <f t="shared" si="58"/>
        <v>0</v>
      </c>
    </row>
    <row r="156" spans="2:16">
      <c r="C156" s="11" t="s">
        <v>75</v>
      </c>
      <c r="D156" s="242"/>
      <c r="E156" s="242">
        <f>SUM(E100:E155)</f>
        <v>88160625.260000035</v>
      </c>
      <c r="F156" s="242"/>
      <c r="G156" s="242"/>
      <c r="H156" s="242">
        <f>SUM(H100:H155)</f>
        <v>232694615.27826223</v>
      </c>
      <c r="I156" s="242">
        <f>SUM(I100:I155)</f>
        <v>232694615.27826223</v>
      </c>
      <c r="J156" s="242">
        <f>SUM(J100:J155)</f>
        <v>0</v>
      </c>
      <c r="K156" s="242"/>
      <c r="L156" s="242"/>
      <c r="M156" s="242"/>
      <c r="N156" s="242"/>
      <c r="O156" s="242"/>
      <c r="P156" s="1"/>
    </row>
    <row r="157" spans="2:16">
      <c r="C157" t="s">
        <v>90</v>
      </c>
      <c r="D157" s="2"/>
      <c r="E157" s="1"/>
      <c r="F157" s="1"/>
      <c r="G157" s="1"/>
      <c r="H157" s="1"/>
      <c r="I157" s="260"/>
      <c r="J157" s="260"/>
      <c r="K157" s="242"/>
      <c r="L157" s="260"/>
      <c r="M157" s="260"/>
      <c r="N157" s="260"/>
      <c r="O157" s="260"/>
      <c r="P157" s="1"/>
    </row>
    <row r="158" spans="2:16">
      <c r="C158" s="83"/>
      <c r="D158" s="2"/>
      <c r="E158" s="1"/>
      <c r="F158" s="1"/>
      <c r="G158" s="1"/>
      <c r="H158" s="1"/>
      <c r="I158" s="260"/>
      <c r="J158" s="260"/>
      <c r="K158" s="242"/>
      <c r="L158" s="260"/>
      <c r="M158" s="260"/>
      <c r="N158" s="260"/>
      <c r="O158" s="260"/>
      <c r="P158" s="1"/>
    </row>
    <row r="159" spans="2:16">
      <c r="C159" s="97" t="s">
        <v>130</v>
      </c>
      <c r="D159" s="2"/>
      <c r="E159" s="1"/>
      <c r="F159" s="1"/>
      <c r="G159" s="1"/>
      <c r="H159" s="1"/>
      <c r="I159" s="260"/>
      <c r="J159" s="260"/>
      <c r="K159" s="242"/>
      <c r="L159" s="260"/>
      <c r="M159" s="260"/>
      <c r="N159" s="260"/>
      <c r="O159" s="260"/>
      <c r="P159" s="1"/>
    </row>
    <row r="160" spans="2:16">
      <c r="C160" s="25" t="s">
        <v>76</v>
      </c>
      <c r="D160" s="11"/>
      <c r="E160" s="11"/>
      <c r="F160" s="11"/>
      <c r="G160" s="11"/>
      <c r="H160" s="242"/>
      <c r="I160" s="242"/>
      <c r="J160" s="64"/>
      <c r="K160" s="64"/>
      <c r="L160" s="64"/>
      <c r="M160" s="64"/>
      <c r="N160" s="64"/>
      <c r="O160" s="64"/>
      <c r="P160" s="1"/>
    </row>
    <row r="161" spans="3:16">
      <c r="C161" s="84" t="s">
        <v>77</v>
      </c>
      <c r="D161" s="11"/>
      <c r="E161" s="11"/>
      <c r="F161" s="11"/>
      <c r="G161" s="11"/>
      <c r="H161" s="242"/>
      <c r="I161" s="242"/>
      <c r="J161" s="64"/>
      <c r="K161" s="64"/>
      <c r="L161" s="64"/>
      <c r="M161" s="64"/>
      <c r="N161" s="64"/>
      <c r="O161" s="64"/>
      <c r="P161" s="1"/>
    </row>
    <row r="162" spans="3:16">
      <c r="C162" s="84"/>
      <c r="D162" s="11"/>
      <c r="E162" s="11"/>
      <c r="F162" s="11"/>
      <c r="G162" s="11"/>
      <c r="H162" s="242"/>
      <c r="I162" s="242"/>
      <c r="J162" s="64"/>
      <c r="K162" s="64"/>
      <c r="L162" s="64"/>
      <c r="M162" s="64"/>
      <c r="N162" s="64"/>
      <c r="O162" s="64"/>
      <c r="P162" s="1"/>
    </row>
    <row r="163" spans="3:16" ht="18">
      <c r="C163" s="84"/>
      <c r="D163" s="11"/>
      <c r="E163" s="11"/>
      <c r="F163" s="11"/>
      <c r="G163" s="11"/>
      <c r="H163" s="242"/>
      <c r="I163" s="242"/>
      <c r="J163" s="64"/>
      <c r="K163" s="64"/>
      <c r="L163" s="64"/>
      <c r="M163" s="64"/>
      <c r="N163" s="64"/>
      <c r="P163" s="95" t="s">
        <v>129</v>
      </c>
    </row>
  </sheetData>
  <conditionalFormatting sqref="C17:C73">
    <cfRule type="cellIs" dxfId="21" priority="1" stopIfTrue="1" operator="equal">
      <formula>$I$10</formula>
    </cfRule>
  </conditionalFormatting>
  <conditionalFormatting sqref="C100:C155">
    <cfRule type="cellIs" dxfId="20"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P163"/>
  <sheetViews>
    <sheetView topLeftCell="A59" zoomScale="85" zoomScaleNormal="85" workbookViewId="0">
      <selection activeCell="D93" sqref="D93"/>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9.140625" customWidth="1"/>
    <col min="23" max="23" width="9.140625" customWidth="1"/>
  </cols>
  <sheetData>
    <row r="1" spans="1:16" ht="20.25">
      <c r="A1" s="93" t="s">
        <v>189</v>
      </c>
      <c r="B1" s="1"/>
      <c r="C1" s="1"/>
      <c r="D1" s="2"/>
      <c r="E1" s="1"/>
      <c r="F1" s="7"/>
      <c r="G1" s="1"/>
      <c r="H1" s="260"/>
      <c r="K1" s="12"/>
      <c r="L1" s="12"/>
      <c r="M1" s="12"/>
      <c r="P1" s="98" t="str">
        <f ca="1">"OKT Project "&amp;RIGHT(MID(CELL("filename",$A$1),FIND("]",CELL("filename",$A$1))+1,256),2)&amp;" of "&amp;COUNT('OKT.001:OKT.xyz - blank'!$P$3)-1</f>
        <v>OKT Project 18 of 26</v>
      </c>
    </row>
    <row r="2" spans="1:16" ht="18">
      <c r="B2" s="1"/>
      <c r="C2" s="1"/>
      <c r="D2" s="2"/>
      <c r="E2" s="1"/>
      <c r="F2" s="1"/>
      <c r="G2" s="1"/>
      <c r="H2" s="260"/>
      <c r="I2" s="1"/>
      <c r="J2" s="1"/>
      <c r="K2" s="1"/>
      <c r="L2" s="1"/>
      <c r="M2" s="1"/>
      <c r="N2" s="1"/>
      <c r="P2" s="99" t="s">
        <v>131</v>
      </c>
    </row>
    <row r="3" spans="1:16" ht="18.75">
      <c r="B3" s="4" t="s">
        <v>42</v>
      </c>
      <c r="C3" s="9" t="s">
        <v>43</v>
      </c>
      <c r="D3" s="2"/>
      <c r="E3" s="1"/>
      <c r="F3" s="1"/>
      <c r="G3" s="1"/>
      <c r="H3" s="260"/>
      <c r="I3" s="260"/>
      <c r="J3" s="242"/>
      <c r="K3" s="260"/>
      <c r="L3" s="260"/>
      <c r="M3" s="260"/>
      <c r="N3" s="260"/>
      <c r="O3" s="1"/>
      <c r="P3" s="91">
        <v>1</v>
      </c>
    </row>
    <row r="4" spans="1:16" ht="15.75" thickBot="1">
      <c r="C4" s="250"/>
      <c r="D4" s="2"/>
      <c r="E4" s="1"/>
      <c r="F4" s="1"/>
      <c r="G4" s="1"/>
      <c r="H4" s="260"/>
      <c r="I4" s="260"/>
      <c r="J4" s="242"/>
      <c r="K4" s="260"/>
      <c r="L4" s="260"/>
      <c r="M4" s="260"/>
      <c r="N4" s="260"/>
      <c r="O4" s="1"/>
      <c r="P4" s="1"/>
    </row>
    <row r="5" spans="1:16" ht="15">
      <c r="C5" s="14" t="s">
        <v>44</v>
      </c>
      <c r="D5" s="2"/>
      <c r="E5" s="1"/>
      <c r="F5" s="1"/>
      <c r="G5" s="349"/>
      <c r="H5" s="1" t="s">
        <v>45</v>
      </c>
      <c r="I5" s="1"/>
      <c r="J5" s="1"/>
      <c r="K5" s="16" t="s">
        <v>242</v>
      </c>
      <c r="L5" s="17"/>
      <c r="M5" s="18"/>
      <c r="N5" s="350">
        <f>VLOOKUP(I10,C17:I73,5)</f>
        <v>1114299.5790551514</v>
      </c>
      <c r="P5" s="1"/>
    </row>
    <row r="6" spans="1:16" ht="15.75">
      <c r="C6" s="6"/>
      <c r="D6" s="2"/>
      <c r="E6" s="1"/>
      <c r="F6" s="1"/>
      <c r="G6" s="1"/>
      <c r="H6" s="351"/>
      <c r="I6" s="351"/>
      <c r="J6" s="352"/>
      <c r="K6" s="22" t="s">
        <v>243</v>
      </c>
      <c r="L6" s="353"/>
      <c r="M6" s="1"/>
      <c r="N6" s="354">
        <f>VLOOKUP(I10,C17:I73,6)</f>
        <v>1114299.5790551514</v>
      </c>
      <c r="O6" s="1"/>
      <c r="P6" s="1"/>
    </row>
    <row r="7" spans="1:16" ht="13.5" thickBot="1">
      <c r="C7" s="25" t="s">
        <v>46</v>
      </c>
      <c r="D7" s="87" t="s">
        <v>264</v>
      </c>
      <c r="E7" s="1"/>
      <c r="F7" s="1"/>
      <c r="G7" s="1"/>
      <c r="H7" s="260"/>
      <c r="I7" s="260"/>
      <c r="J7" s="242"/>
      <c r="K7" s="355" t="s">
        <v>47</v>
      </c>
      <c r="L7" s="356"/>
      <c r="M7" s="356"/>
      <c r="N7" s="357">
        <f>+N6-N5</f>
        <v>0</v>
      </c>
      <c r="O7" s="1"/>
      <c r="P7" s="1"/>
    </row>
    <row r="8" spans="1:16" ht="13.5" thickBot="1">
      <c r="C8" s="29"/>
      <c r="D8" s="83" t="str">
        <f>IF(D10&lt;100000,"DOES NOT MEET SPP $100,000 MINIMUM INVESTMENT FOR REGIONAL BPU SHARING.","")</f>
        <v/>
      </c>
      <c r="E8" s="10"/>
      <c r="F8" s="10"/>
      <c r="G8" s="10"/>
      <c r="H8" s="10"/>
      <c r="I8" s="10"/>
      <c r="J8" s="10"/>
      <c r="K8" s="10"/>
      <c r="L8" s="10"/>
      <c r="M8" s="10"/>
      <c r="N8" s="10"/>
      <c r="O8" s="10"/>
      <c r="P8" s="1"/>
    </row>
    <row r="9" spans="1:16" ht="13.5" thickBot="1">
      <c r="C9" s="30" t="s">
        <v>48</v>
      </c>
      <c r="D9" s="89" t="s">
        <v>266</v>
      </c>
      <c r="E9" s="31" t="s">
        <v>310</v>
      </c>
      <c r="F9" s="31">
        <v>31009</v>
      </c>
      <c r="G9" s="31"/>
      <c r="H9" s="31"/>
      <c r="I9" s="32"/>
      <c r="J9" s="33"/>
      <c r="P9" s="1"/>
    </row>
    <row r="10" spans="1:16">
      <c r="C10" s="34" t="s">
        <v>49</v>
      </c>
      <c r="D10" s="358">
        <v>8934664.3900000006</v>
      </c>
      <c r="E10" s="1" t="s">
        <v>50</v>
      </c>
      <c r="G10" s="2"/>
      <c r="H10" s="2"/>
      <c r="I10" s="36">
        <f>+'OKT.WS.F.BPU.ATRR.Projected'!R100</f>
        <v>2025</v>
      </c>
      <c r="J10" s="33"/>
      <c r="K10" s="242" t="s">
        <v>51</v>
      </c>
      <c r="O10" s="1"/>
      <c r="P10" s="1"/>
    </row>
    <row r="11" spans="1:16">
      <c r="C11" s="34" t="s">
        <v>52</v>
      </c>
      <c r="D11" s="37">
        <v>2018</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8">
        <v>5</v>
      </c>
      <c r="E12" s="34" t="s">
        <v>55</v>
      </c>
      <c r="F12" s="2"/>
      <c r="I12" s="40">
        <f>'OKT.WS.F.BPU.ATRR.Projected'!$F$78</f>
        <v>0.11444992740144029</v>
      </c>
      <c r="J12" s="7"/>
      <c r="K12" t="s">
        <v>56</v>
      </c>
      <c r="O12" s="1"/>
      <c r="P12" s="1"/>
    </row>
    <row r="13" spans="1:16">
      <c r="C13" s="34" t="s">
        <v>57</v>
      </c>
      <c r="D13" s="38">
        <f>+'OKT.WS.F.BPU.ATRR.Projected'!F$89</f>
        <v>30</v>
      </c>
      <c r="E13" s="34" t="s">
        <v>58</v>
      </c>
      <c r="F13" s="2"/>
      <c r="I13" s="40">
        <f>IF(G5="",I12,'OKT.WS.F.BPU.ATRR.Projected'!$F$77)</f>
        <v>0.11444992740144029</v>
      </c>
      <c r="J13" s="7"/>
      <c r="K13" s="242" t="s">
        <v>59</v>
      </c>
      <c r="L13" s="7"/>
      <c r="M13" s="7"/>
      <c r="N13" s="7"/>
      <c r="O13" s="1"/>
      <c r="P13" s="1"/>
    </row>
    <row r="14" spans="1:16" ht="13.5" thickBot="1">
      <c r="C14" s="34" t="s">
        <v>60</v>
      </c>
      <c r="D14" s="37" t="s">
        <v>61</v>
      </c>
      <c r="E14" s="1" t="s">
        <v>62</v>
      </c>
      <c r="F14" s="2"/>
      <c r="I14" s="359">
        <f>IF(D10=0,0,D10/D13)</f>
        <v>297822.14633333334</v>
      </c>
      <c r="J14" s="242"/>
      <c r="K14" s="242"/>
      <c r="L14" s="242"/>
      <c r="M14" s="242"/>
      <c r="N14" s="242"/>
      <c r="O14" s="1"/>
      <c r="P14" s="1"/>
    </row>
    <row r="15" spans="1:16"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row>
    <row r="16" spans="1:16"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row>
    <row r="17" spans="2:16">
      <c r="B17" t="str">
        <f t="shared" ref="B17:B71" si="0">IF(D17=F16,"","IU")</f>
        <v>IU</v>
      </c>
      <c r="C17" s="49">
        <f>IF(D11= "","-",D11)</f>
        <v>2018</v>
      </c>
      <c r="D17" s="435">
        <v>0</v>
      </c>
      <c r="E17" s="434">
        <v>0</v>
      </c>
      <c r="F17" s="435">
        <v>8591402</v>
      </c>
      <c r="G17" s="434">
        <v>472269.24918780552</v>
      </c>
      <c r="H17" s="438">
        <v>472269.24918780552</v>
      </c>
      <c r="I17" s="51">
        <f t="shared" ref="I17:I71" si="1">H17-G17</f>
        <v>0</v>
      </c>
      <c r="J17" s="51"/>
      <c r="K17" s="114">
        <f t="shared" ref="K17:K22" si="2">+G17</f>
        <v>472269.24918780552</v>
      </c>
      <c r="L17" s="52">
        <f t="shared" ref="L17:L71" si="3">IF(K17&lt;&gt;0,+G17-K17,0)</f>
        <v>0</v>
      </c>
      <c r="M17" s="114">
        <f t="shared" ref="M17:M22" si="4">+H17</f>
        <v>472269.24918780552</v>
      </c>
      <c r="N17" s="52">
        <f t="shared" ref="N17:N71" si="5">IF(M17&lt;&gt;0,+H17-M17,0)</f>
        <v>0</v>
      </c>
      <c r="O17" s="53">
        <f t="shared" ref="O17:O71" si="6">+N17-L17</f>
        <v>0</v>
      </c>
      <c r="P17" s="1"/>
    </row>
    <row r="18" spans="2:16">
      <c r="B18" t="str">
        <f t="shared" si="0"/>
        <v/>
      </c>
      <c r="C18" s="49">
        <f>IF(D11="","-",+C17+1)</f>
        <v>2019</v>
      </c>
      <c r="D18" s="435">
        <v>8591402</v>
      </c>
      <c r="E18" s="434">
        <v>254811.07676479843</v>
      </c>
      <c r="F18" s="435">
        <v>8336590.9232352013</v>
      </c>
      <c r="G18" s="434">
        <v>1134524.7126540036</v>
      </c>
      <c r="H18" s="438">
        <v>1134524.7126540036</v>
      </c>
      <c r="I18" s="51">
        <f t="shared" si="1"/>
        <v>0</v>
      </c>
      <c r="J18" s="51"/>
      <c r="K18" s="419">
        <f t="shared" si="2"/>
        <v>1134524.7126540036</v>
      </c>
      <c r="L18" s="422">
        <f t="shared" ref="L18" si="7">IF(K18&lt;&gt;0,+G18-K18,0)</f>
        <v>0</v>
      </c>
      <c r="M18" s="419">
        <f t="shared" si="4"/>
        <v>1134524.7126540036</v>
      </c>
      <c r="N18" s="53">
        <f t="shared" si="5"/>
        <v>0</v>
      </c>
      <c r="O18" s="53">
        <f t="shared" si="6"/>
        <v>0</v>
      </c>
      <c r="P18" s="1"/>
    </row>
    <row r="19" spans="2:16">
      <c r="B19" t="str">
        <f t="shared" si="0"/>
        <v>IU</v>
      </c>
      <c r="C19" s="49">
        <f>IF(D11="","-",+C18+1)</f>
        <v>2020</v>
      </c>
      <c r="D19" s="435">
        <v>8386649.9543424007</v>
      </c>
      <c r="E19" s="434">
        <v>261622.86982027246</v>
      </c>
      <c r="F19" s="435">
        <v>8125027.0845221281</v>
      </c>
      <c r="G19" s="434">
        <v>1127928.3671828741</v>
      </c>
      <c r="H19" s="438">
        <v>1127928.3671828741</v>
      </c>
      <c r="I19" s="51">
        <f t="shared" si="1"/>
        <v>0</v>
      </c>
      <c r="J19" s="51"/>
      <c r="K19" s="419">
        <f t="shared" si="2"/>
        <v>1127928.3671828741</v>
      </c>
      <c r="L19" s="422">
        <f t="shared" ref="L19" si="8">IF(K19&lt;&gt;0,+G19-K19,0)</f>
        <v>0</v>
      </c>
      <c r="M19" s="419">
        <f t="shared" si="4"/>
        <v>1127928.3671828741</v>
      </c>
      <c r="N19" s="53">
        <f t="shared" si="5"/>
        <v>0</v>
      </c>
      <c r="O19" s="53">
        <f t="shared" si="6"/>
        <v>0</v>
      </c>
      <c r="P19" s="1"/>
    </row>
    <row r="20" spans="2:16">
      <c r="B20" t="str">
        <f t="shared" si="0"/>
        <v>IU</v>
      </c>
      <c r="C20" s="49">
        <f>IF(D11="","-",+C19+1)</f>
        <v>2021</v>
      </c>
      <c r="D20" s="435">
        <v>8418230.0534149297</v>
      </c>
      <c r="E20" s="434">
        <v>288214.96774193546</v>
      </c>
      <c r="F20" s="435">
        <v>8130015.0856729941</v>
      </c>
      <c r="G20" s="434">
        <v>1183351.4738305765</v>
      </c>
      <c r="H20" s="438">
        <v>1183351.4738305765</v>
      </c>
      <c r="I20" s="51">
        <f t="shared" si="1"/>
        <v>0</v>
      </c>
      <c r="J20" s="51"/>
      <c r="K20" s="419">
        <f t="shared" si="2"/>
        <v>1183351.4738305765</v>
      </c>
      <c r="L20" s="422">
        <f t="shared" ref="L20" si="9">IF(K20&lt;&gt;0,+G20-K20,0)</f>
        <v>0</v>
      </c>
      <c r="M20" s="419">
        <f t="shared" si="4"/>
        <v>1183351.4738305765</v>
      </c>
      <c r="N20" s="53">
        <f t="shared" ref="N20" si="10">IF(M20&lt;&gt;0,+H20-M20,0)</f>
        <v>0</v>
      </c>
      <c r="O20" s="53">
        <f t="shared" ref="O20" si="11">+N20-L20</f>
        <v>0</v>
      </c>
      <c r="P20" s="1"/>
    </row>
    <row r="21" spans="2:16">
      <c r="B21" t="str">
        <f t="shared" si="0"/>
        <v/>
      </c>
      <c r="C21" s="49">
        <f>IF(D11="","-",+C20+1)</f>
        <v>2022</v>
      </c>
      <c r="D21" s="435">
        <v>8130015.0856729941</v>
      </c>
      <c r="E21" s="434">
        <v>270747.39393939392</v>
      </c>
      <c r="F21" s="435">
        <v>7859267.6917336006</v>
      </c>
      <c r="G21" s="434">
        <v>1188202.637458564</v>
      </c>
      <c r="H21" s="438">
        <v>1188202.637458564</v>
      </c>
      <c r="I21" s="51">
        <f t="shared" si="1"/>
        <v>0</v>
      </c>
      <c r="J21" s="51"/>
      <c r="K21" s="419">
        <f t="shared" si="2"/>
        <v>1188202.637458564</v>
      </c>
      <c r="L21" s="422">
        <f t="shared" ref="L21" si="12">IF(K21&lt;&gt;0,+G21-K21,0)</f>
        <v>0</v>
      </c>
      <c r="M21" s="419">
        <f t="shared" si="4"/>
        <v>1188202.637458564</v>
      </c>
      <c r="N21" s="53">
        <f t="shared" si="5"/>
        <v>0</v>
      </c>
      <c r="O21" s="53">
        <f t="shared" si="6"/>
        <v>0</v>
      </c>
      <c r="P21" s="1"/>
    </row>
    <row r="22" spans="2:16">
      <c r="B22" t="str">
        <f t="shared" si="0"/>
        <v>IU</v>
      </c>
      <c r="C22" s="49">
        <f>IF(D11="","-",+C21+1)</f>
        <v>2023</v>
      </c>
      <c r="D22" s="435">
        <v>7859268.0817336002</v>
      </c>
      <c r="E22" s="434">
        <v>288214.98032258067</v>
      </c>
      <c r="F22" s="435">
        <v>7571053.1014110195</v>
      </c>
      <c r="G22" s="434">
        <v>1160281.6090501249</v>
      </c>
      <c r="H22" s="438">
        <v>1160281.6090501249</v>
      </c>
      <c r="I22" s="51">
        <f t="shared" si="1"/>
        <v>0</v>
      </c>
      <c r="J22" s="51"/>
      <c r="K22" s="419">
        <f t="shared" si="2"/>
        <v>1160281.6090501249</v>
      </c>
      <c r="L22" s="422">
        <f t="shared" ref="L22" si="13">IF(K22&lt;&gt;0,+G22-K22,0)</f>
        <v>0</v>
      </c>
      <c r="M22" s="419">
        <f t="shared" si="4"/>
        <v>1160281.6090501249</v>
      </c>
      <c r="N22" s="53">
        <f t="shared" si="5"/>
        <v>0</v>
      </c>
      <c r="O22" s="53">
        <f t="shared" si="6"/>
        <v>0</v>
      </c>
      <c r="P22" s="1"/>
    </row>
    <row r="23" spans="2:16">
      <c r="B23" t="str">
        <f t="shared" si="0"/>
        <v/>
      </c>
      <c r="C23" s="49">
        <f>IF(D11="","-",+C22+1)</f>
        <v>2024</v>
      </c>
      <c r="D23" s="435">
        <v>7571053.1014110195</v>
      </c>
      <c r="E23" s="434">
        <v>288214.98032258067</v>
      </c>
      <c r="F23" s="435">
        <v>7282838.1210884387</v>
      </c>
      <c r="G23" s="434">
        <v>1134379.0231473665</v>
      </c>
      <c r="H23" s="438">
        <v>1134379.0231473665</v>
      </c>
      <c r="I23" s="51">
        <f t="shared" si="1"/>
        <v>0</v>
      </c>
      <c r="J23" s="51"/>
      <c r="K23" s="419">
        <f t="shared" ref="K23" si="14">+G23</f>
        <v>1134379.0231473665</v>
      </c>
      <c r="L23" s="422">
        <f t="shared" ref="L23" si="15">IF(K23&lt;&gt;0,+G23-K23,0)</f>
        <v>0</v>
      </c>
      <c r="M23" s="419">
        <f t="shared" ref="M23" si="16">+H23</f>
        <v>1134379.0231473665</v>
      </c>
      <c r="N23" s="53">
        <f t="shared" ref="N23" si="17">IF(M23&lt;&gt;0,+H23-M23,0)</f>
        <v>0</v>
      </c>
      <c r="O23" s="53">
        <f t="shared" ref="O23" si="18">+N23-L23</f>
        <v>0</v>
      </c>
      <c r="P23" s="1"/>
    </row>
    <row r="24" spans="2:16">
      <c r="B24" t="str">
        <f t="shared" si="0"/>
        <v/>
      </c>
      <c r="C24" s="49">
        <f>IF(D11="","-",+C23+1)</f>
        <v>2025</v>
      </c>
      <c r="D24" s="435">
        <v>7282838.1210884387</v>
      </c>
      <c r="E24" s="434">
        <v>297822.14633333334</v>
      </c>
      <c r="F24" s="435">
        <v>6985015.9747551056</v>
      </c>
      <c r="G24" s="434">
        <v>1114299.5790551514</v>
      </c>
      <c r="H24" s="438">
        <v>1114299.5790551514</v>
      </c>
      <c r="I24" s="51">
        <f t="shared" si="1"/>
        <v>0</v>
      </c>
      <c r="J24" s="51"/>
      <c r="K24" s="419">
        <f t="shared" ref="K24" si="19">+G24</f>
        <v>1114299.5790551514</v>
      </c>
      <c r="L24" s="422">
        <f t="shared" ref="L24" si="20">IF(K24&lt;&gt;0,+G24-K24,0)</f>
        <v>0</v>
      </c>
      <c r="M24" s="419">
        <f t="shared" ref="M24" si="21">+H24</f>
        <v>1114299.5790551514</v>
      </c>
      <c r="N24" s="53">
        <f t="shared" ref="N24" si="22">IF(M24&lt;&gt;0,+H24-M24,0)</f>
        <v>0</v>
      </c>
      <c r="O24" s="53">
        <f t="shared" ref="O24" si="23">+N24-L24</f>
        <v>0</v>
      </c>
      <c r="P24" s="1"/>
    </row>
    <row r="25" spans="2:16">
      <c r="B25" t="str">
        <f t="shared" si="0"/>
        <v/>
      </c>
      <c r="C25" s="49">
        <f>IF(D11="","-",+C24+1)</f>
        <v>2026</v>
      </c>
      <c r="D25" s="54">
        <f>IF(F24+SUM(E$17:E24)=D$10,F24,D$10-SUM(E$17:E24))</f>
        <v>6985015.9747551056</v>
      </c>
      <c r="E25" s="377">
        <f t="shared" ref="E25:E71" si="24">IF(+I$14&lt;F24,I$14,D25)</f>
        <v>297822.14633333334</v>
      </c>
      <c r="F25" s="54">
        <f t="shared" ref="F25:F71" si="25">+D25-E25</f>
        <v>6687193.8284217725</v>
      </c>
      <c r="G25" s="378">
        <f t="shared" ref="G25:G71" si="26">(D25+F25)/2*I$12+E25</f>
        <v>1080213.8560287603</v>
      </c>
      <c r="H25" s="359">
        <f t="shared" ref="H25:H71" si="27">+(D25+F25)/2*I$13+E25</f>
        <v>1080213.8560287603</v>
      </c>
      <c r="I25" s="51">
        <f t="shared" si="1"/>
        <v>0</v>
      </c>
      <c r="J25" s="51"/>
      <c r="K25" s="112"/>
      <c r="L25" s="53">
        <f t="shared" si="3"/>
        <v>0</v>
      </c>
      <c r="M25" s="112"/>
      <c r="N25" s="53">
        <f t="shared" si="5"/>
        <v>0</v>
      </c>
      <c r="O25" s="53">
        <f t="shared" si="6"/>
        <v>0</v>
      </c>
      <c r="P25" s="1"/>
    </row>
    <row r="26" spans="2:16">
      <c r="B26" t="str">
        <f t="shared" si="0"/>
        <v/>
      </c>
      <c r="C26" s="49">
        <f>IF(D11="","-",+C25+1)</f>
        <v>2027</v>
      </c>
      <c r="D26" s="54">
        <f>IF(F25+SUM(E$17:E25)=D$10,F25,D$10-SUM(E$17:E25))</f>
        <v>6687193.8284217725</v>
      </c>
      <c r="E26" s="377">
        <f t="shared" si="24"/>
        <v>297822.14633333334</v>
      </c>
      <c r="F26" s="54">
        <f t="shared" si="25"/>
        <v>6389371.6820884394</v>
      </c>
      <c r="G26" s="378">
        <f t="shared" si="26"/>
        <v>1046128.1330023692</v>
      </c>
      <c r="H26" s="359">
        <f t="shared" si="27"/>
        <v>1046128.1330023692</v>
      </c>
      <c r="I26" s="51">
        <f t="shared" si="1"/>
        <v>0</v>
      </c>
      <c r="J26" s="51"/>
      <c r="K26" s="112"/>
      <c r="L26" s="53">
        <f t="shared" si="3"/>
        <v>0</v>
      </c>
      <c r="M26" s="112"/>
      <c r="N26" s="53">
        <f t="shared" si="5"/>
        <v>0</v>
      </c>
      <c r="O26" s="53">
        <f t="shared" si="6"/>
        <v>0</v>
      </c>
      <c r="P26" s="1"/>
    </row>
    <row r="27" spans="2:16">
      <c r="B27" t="str">
        <f t="shared" si="0"/>
        <v/>
      </c>
      <c r="C27" s="49">
        <f>IF(D11="","-",+C26+1)</f>
        <v>2028</v>
      </c>
      <c r="D27" s="54">
        <f>IF(F26+SUM(E$17:E26)=D$10,F26,D$10-SUM(E$17:E26))</f>
        <v>6389371.6820884394</v>
      </c>
      <c r="E27" s="377">
        <f t="shared" si="24"/>
        <v>297822.14633333334</v>
      </c>
      <c r="F27" s="54">
        <f t="shared" si="25"/>
        <v>6091549.5357551062</v>
      </c>
      <c r="G27" s="378">
        <f t="shared" si="26"/>
        <v>1012042.4099759781</v>
      </c>
      <c r="H27" s="359">
        <f t="shared" si="27"/>
        <v>1012042.4099759781</v>
      </c>
      <c r="I27" s="51">
        <f t="shared" si="1"/>
        <v>0</v>
      </c>
      <c r="J27" s="51"/>
      <c r="K27" s="112"/>
      <c r="L27" s="53">
        <f t="shared" si="3"/>
        <v>0</v>
      </c>
      <c r="M27" s="112"/>
      <c r="N27" s="53">
        <f t="shared" si="5"/>
        <v>0</v>
      </c>
      <c r="O27" s="53">
        <f t="shared" si="6"/>
        <v>0</v>
      </c>
      <c r="P27" s="1"/>
    </row>
    <row r="28" spans="2:16">
      <c r="B28" t="str">
        <f t="shared" si="0"/>
        <v/>
      </c>
      <c r="C28" s="49">
        <f>IF(D11="","-",+C27+1)</f>
        <v>2029</v>
      </c>
      <c r="D28" s="54">
        <f>IF(F27+SUM(E$17:E27)=D$10,F27,D$10-SUM(E$17:E27))</f>
        <v>6091549.5357551062</v>
      </c>
      <c r="E28" s="377">
        <f t="shared" si="24"/>
        <v>297822.14633333334</v>
      </c>
      <c r="F28" s="54">
        <f t="shared" si="25"/>
        <v>5793727.3894217731</v>
      </c>
      <c r="G28" s="378">
        <f t="shared" si="26"/>
        <v>977956.68694958696</v>
      </c>
      <c r="H28" s="359">
        <f t="shared" si="27"/>
        <v>977956.68694958696</v>
      </c>
      <c r="I28" s="51">
        <f t="shared" si="1"/>
        <v>0</v>
      </c>
      <c r="J28" s="51"/>
      <c r="K28" s="112"/>
      <c r="L28" s="53">
        <f t="shared" si="3"/>
        <v>0</v>
      </c>
      <c r="M28" s="112"/>
      <c r="N28" s="53">
        <f t="shared" si="5"/>
        <v>0</v>
      </c>
      <c r="O28" s="53">
        <f t="shared" si="6"/>
        <v>0</v>
      </c>
      <c r="P28" s="1"/>
    </row>
    <row r="29" spans="2:16">
      <c r="B29" t="str">
        <f t="shared" si="0"/>
        <v/>
      </c>
      <c r="C29" s="49">
        <f>IF(D11="","-",+C28+1)</f>
        <v>2030</v>
      </c>
      <c r="D29" s="54">
        <f>IF(F28+SUM(E$17:E28)=D$10,F28,D$10-SUM(E$17:E28))</f>
        <v>5793727.3894217731</v>
      </c>
      <c r="E29" s="377">
        <f t="shared" si="24"/>
        <v>297822.14633333334</v>
      </c>
      <c r="F29" s="54">
        <f t="shared" si="25"/>
        <v>5495905.24308844</v>
      </c>
      <c r="G29" s="378">
        <f t="shared" si="26"/>
        <v>943870.96392319596</v>
      </c>
      <c r="H29" s="359">
        <f t="shared" si="27"/>
        <v>943870.96392319596</v>
      </c>
      <c r="I29" s="51">
        <f t="shared" si="1"/>
        <v>0</v>
      </c>
      <c r="J29" s="51"/>
      <c r="K29" s="112"/>
      <c r="L29" s="53">
        <f t="shared" si="3"/>
        <v>0</v>
      </c>
      <c r="M29" s="112"/>
      <c r="N29" s="53">
        <f t="shared" si="5"/>
        <v>0</v>
      </c>
      <c r="O29" s="53">
        <f t="shared" si="6"/>
        <v>0</v>
      </c>
      <c r="P29" s="1"/>
    </row>
    <row r="30" spans="2:16">
      <c r="B30" t="str">
        <f t="shared" si="0"/>
        <v/>
      </c>
      <c r="C30" s="49">
        <f>IF(D11="","-",+C29+1)</f>
        <v>2031</v>
      </c>
      <c r="D30" s="54">
        <f>IF(F29+SUM(E$17:E29)=D$10,F29,D$10-SUM(E$17:E29))</f>
        <v>5495905.24308844</v>
      </c>
      <c r="E30" s="377">
        <f t="shared" si="24"/>
        <v>297822.14633333334</v>
      </c>
      <c r="F30" s="54">
        <f t="shared" si="25"/>
        <v>5198083.0967551069</v>
      </c>
      <c r="G30" s="378">
        <f t="shared" si="26"/>
        <v>909785.24089680484</v>
      </c>
      <c r="H30" s="359">
        <f t="shared" si="27"/>
        <v>909785.24089680484</v>
      </c>
      <c r="I30" s="51">
        <f t="shared" si="1"/>
        <v>0</v>
      </c>
      <c r="J30" s="51"/>
      <c r="K30" s="112"/>
      <c r="L30" s="53">
        <f t="shared" si="3"/>
        <v>0</v>
      </c>
      <c r="M30" s="112"/>
      <c r="N30" s="53">
        <f t="shared" si="5"/>
        <v>0</v>
      </c>
      <c r="O30" s="53">
        <f t="shared" si="6"/>
        <v>0</v>
      </c>
      <c r="P30" s="1"/>
    </row>
    <row r="31" spans="2:16">
      <c r="B31" t="str">
        <f t="shared" si="0"/>
        <v/>
      </c>
      <c r="C31" s="49">
        <f>IF(D11="","-",+C30+1)</f>
        <v>2032</v>
      </c>
      <c r="D31" s="54">
        <f>IF(F30+SUM(E$17:E30)=D$10,F30,D$10-SUM(E$17:E30))</f>
        <v>5198083.0967551069</v>
      </c>
      <c r="E31" s="377">
        <f t="shared" si="24"/>
        <v>297822.14633333334</v>
      </c>
      <c r="F31" s="54">
        <f t="shared" si="25"/>
        <v>4900260.9504217738</v>
      </c>
      <c r="G31" s="378">
        <f t="shared" si="26"/>
        <v>875699.51787041372</v>
      </c>
      <c r="H31" s="359">
        <f t="shared" si="27"/>
        <v>875699.51787041372</v>
      </c>
      <c r="I31" s="51">
        <f t="shared" si="1"/>
        <v>0</v>
      </c>
      <c r="J31" s="51"/>
      <c r="K31" s="112"/>
      <c r="L31" s="53">
        <f t="shared" si="3"/>
        <v>0</v>
      </c>
      <c r="M31" s="112"/>
      <c r="N31" s="53">
        <f t="shared" si="5"/>
        <v>0</v>
      </c>
      <c r="O31" s="53">
        <f t="shared" si="6"/>
        <v>0</v>
      </c>
      <c r="P31" s="1"/>
    </row>
    <row r="32" spans="2:16">
      <c r="B32" t="str">
        <f t="shared" si="0"/>
        <v/>
      </c>
      <c r="C32" s="49">
        <f>IF(D11="","-",+C31+1)</f>
        <v>2033</v>
      </c>
      <c r="D32" s="54">
        <f>IF(F31+SUM(E$17:E31)=D$10,F31,D$10-SUM(E$17:E31))</f>
        <v>4900260.9504217738</v>
      </c>
      <c r="E32" s="377">
        <f t="shared" si="24"/>
        <v>297822.14633333334</v>
      </c>
      <c r="F32" s="54">
        <f t="shared" si="25"/>
        <v>4602438.8040884407</v>
      </c>
      <c r="G32" s="378">
        <f t="shared" si="26"/>
        <v>841613.7948440226</v>
      </c>
      <c r="H32" s="359">
        <f t="shared" si="27"/>
        <v>841613.7948440226</v>
      </c>
      <c r="I32" s="51">
        <f t="shared" si="1"/>
        <v>0</v>
      </c>
      <c r="J32" s="51"/>
      <c r="K32" s="112"/>
      <c r="L32" s="53">
        <f t="shared" si="3"/>
        <v>0</v>
      </c>
      <c r="M32" s="112"/>
      <c r="N32" s="53">
        <f t="shared" si="5"/>
        <v>0</v>
      </c>
      <c r="O32" s="53">
        <f t="shared" si="6"/>
        <v>0</v>
      </c>
      <c r="P32" s="1"/>
    </row>
    <row r="33" spans="2:16">
      <c r="B33" t="str">
        <f t="shared" si="0"/>
        <v/>
      </c>
      <c r="C33" s="49">
        <f>IF(D11="","-",+C32+1)</f>
        <v>2034</v>
      </c>
      <c r="D33" s="54">
        <f>IF(F32+SUM(E$17:E32)=D$10,F32,D$10-SUM(E$17:E32))</f>
        <v>4602438.8040884407</v>
      </c>
      <c r="E33" s="377">
        <f t="shared" si="24"/>
        <v>297822.14633333334</v>
      </c>
      <c r="F33" s="54">
        <f t="shared" si="25"/>
        <v>4304616.6577551076</v>
      </c>
      <c r="G33" s="378">
        <f t="shared" si="26"/>
        <v>807528.07181763148</v>
      </c>
      <c r="H33" s="359">
        <f t="shared" si="27"/>
        <v>807528.07181763148</v>
      </c>
      <c r="I33" s="51">
        <f t="shared" si="1"/>
        <v>0</v>
      </c>
      <c r="J33" s="51"/>
      <c r="K33" s="112"/>
      <c r="L33" s="53">
        <f t="shared" si="3"/>
        <v>0</v>
      </c>
      <c r="M33" s="112"/>
      <c r="N33" s="53">
        <f t="shared" si="5"/>
        <v>0</v>
      </c>
      <c r="O33" s="53">
        <f t="shared" si="6"/>
        <v>0</v>
      </c>
      <c r="P33" s="1"/>
    </row>
    <row r="34" spans="2:16">
      <c r="B34" t="str">
        <f t="shared" si="0"/>
        <v/>
      </c>
      <c r="C34" s="49">
        <f>IF(D11="","-",+C33+1)</f>
        <v>2035</v>
      </c>
      <c r="D34" s="54">
        <f>IF(F33+SUM(E$17:E33)=D$10,F33,D$10-SUM(E$17:E33))</f>
        <v>4304616.6577551076</v>
      </c>
      <c r="E34" s="377">
        <f t="shared" si="24"/>
        <v>297822.14633333334</v>
      </c>
      <c r="F34" s="54">
        <f t="shared" si="25"/>
        <v>4006794.5114217745</v>
      </c>
      <c r="G34" s="378">
        <f t="shared" si="26"/>
        <v>773442.34879124048</v>
      </c>
      <c r="H34" s="359">
        <f t="shared" si="27"/>
        <v>773442.34879124048</v>
      </c>
      <c r="I34" s="51">
        <f t="shared" si="1"/>
        <v>0</v>
      </c>
      <c r="J34" s="51"/>
      <c r="K34" s="112"/>
      <c r="L34" s="53">
        <f t="shared" si="3"/>
        <v>0</v>
      </c>
      <c r="M34" s="112"/>
      <c r="N34" s="53">
        <f t="shared" si="5"/>
        <v>0</v>
      </c>
      <c r="O34" s="53">
        <f t="shared" si="6"/>
        <v>0</v>
      </c>
      <c r="P34" s="1"/>
    </row>
    <row r="35" spans="2:16">
      <c r="B35" t="str">
        <f t="shared" si="0"/>
        <v/>
      </c>
      <c r="C35" s="49">
        <f>IF(D11="","-",+C34+1)</f>
        <v>2036</v>
      </c>
      <c r="D35" s="54">
        <f>IF(F34+SUM(E$17:E34)=D$10,F34,D$10-SUM(E$17:E34))</f>
        <v>4006794.5114217745</v>
      </c>
      <c r="E35" s="377">
        <f t="shared" si="24"/>
        <v>297822.14633333334</v>
      </c>
      <c r="F35" s="54">
        <f t="shared" si="25"/>
        <v>3708972.3650884414</v>
      </c>
      <c r="G35" s="378">
        <f t="shared" si="26"/>
        <v>739356.62576484936</v>
      </c>
      <c r="H35" s="359">
        <f t="shared" si="27"/>
        <v>739356.62576484936</v>
      </c>
      <c r="I35" s="51">
        <f t="shared" si="1"/>
        <v>0</v>
      </c>
      <c r="J35" s="51"/>
      <c r="K35" s="112"/>
      <c r="L35" s="53">
        <f t="shared" si="3"/>
        <v>0</v>
      </c>
      <c r="M35" s="112"/>
      <c r="N35" s="53">
        <f t="shared" si="5"/>
        <v>0</v>
      </c>
      <c r="O35" s="53">
        <f t="shared" si="6"/>
        <v>0</v>
      </c>
      <c r="P35" s="1"/>
    </row>
    <row r="36" spans="2:16">
      <c r="B36" t="str">
        <f t="shared" si="0"/>
        <v/>
      </c>
      <c r="C36" s="49">
        <f>IF(D11="","-",+C35+1)</f>
        <v>2037</v>
      </c>
      <c r="D36" s="54">
        <f>IF(F35+SUM(E$17:E35)=D$10,F35,D$10-SUM(E$17:E35))</f>
        <v>3708972.3650884414</v>
      </c>
      <c r="E36" s="377">
        <f t="shared" si="24"/>
        <v>297822.14633333334</v>
      </c>
      <c r="F36" s="54">
        <f t="shared" si="25"/>
        <v>3411150.2187551083</v>
      </c>
      <c r="G36" s="378">
        <f t="shared" si="26"/>
        <v>705270.90273845824</v>
      </c>
      <c r="H36" s="359">
        <f t="shared" si="27"/>
        <v>705270.90273845824</v>
      </c>
      <c r="I36" s="51">
        <f t="shared" si="1"/>
        <v>0</v>
      </c>
      <c r="J36" s="51"/>
      <c r="K36" s="112"/>
      <c r="L36" s="53">
        <f t="shared" si="3"/>
        <v>0</v>
      </c>
      <c r="M36" s="112"/>
      <c r="N36" s="53">
        <f t="shared" si="5"/>
        <v>0</v>
      </c>
      <c r="O36" s="53">
        <f t="shared" si="6"/>
        <v>0</v>
      </c>
      <c r="P36" s="1"/>
    </row>
    <row r="37" spans="2:16">
      <c r="B37" t="str">
        <f t="shared" si="0"/>
        <v/>
      </c>
      <c r="C37" s="49">
        <f>IF(D11="","-",+C36+1)</f>
        <v>2038</v>
      </c>
      <c r="D37" s="54">
        <f>IF(F36+SUM(E$17:E36)=D$10,F36,D$10-SUM(E$17:E36))</f>
        <v>3411150.2187551083</v>
      </c>
      <c r="E37" s="377">
        <f t="shared" si="24"/>
        <v>297822.14633333334</v>
      </c>
      <c r="F37" s="54">
        <f t="shared" si="25"/>
        <v>3113328.0724217752</v>
      </c>
      <c r="G37" s="378">
        <f t="shared" si="26"/>
        <v>671185.17971206713</v>
      </c>
      <c r="H37" s="359">
        <f t="shared" si="27"/>
        <v>671185.17971206713</v>
      </c>
      <c r="I37" s="51">
        <f t="shared" si="1"/>
        <v>0</v>
      </c>
      <c r="J37" s="51"/>
      <c r="K37" s="112"/>
      <c r="L37" s="53">
        <f t="shared" si="3"/>
        <v>0</v>
      </c>
      <c r="M37" s="112"/>
      <c r="N37" s="53">
        <f t="shared" si="5"/>
        <v>0</v>
      </c>
      <c r="O37" s="53">
        <f t="shared" si="6"/>
        <v>0</v>
      </c>
      <c r="P37" s="1"/>
    </row>
    <row r="38" spans="2:16">
      <c r="B38" t="str">
        <f t="shared" si="0"/>
        <v/>
      </c>
      <c r="C38" s="49">
        <f>IF(D11="","-",+C37+1)</f>
        <v>2039</v>
      </c>
      <c r="D38" s="54">
        <f>IF(F37+SUM(E$17:E37)=D$10,F37,D$10-SUM(E$17:E37))</f>
        <v>3113328.0724217752</v>
      </c>
      <c r="E38" s="377">
        <f t="shared" si="24"/>
        <v>297822.14633333334</v>
      </c>
      <c r="F38" s="54">
        <f t="shared" si="25"/>
        <v>2815505.9260884421</v>
      </c>
      <c r="G38" s="378">
        <f t="shared" si="26"/>
        <v>637099.45668567601</v>
      </c>
      <c r="H38" s="359">
        <f t="shared" si="27"/>
        <v>637099.45668567601</v>
      </c>
      <c r="I38" s="51">
        <f t="shared" si="1"/>
        <v>0</v>
      </c>
      <c r="J38" s="51"/>
      <c r="K38" s="112"/>
      <c r="L38" s="53">
        <f t="shared" si="3"/>
        <v>0</v>
      </c>
      <c r="M38" s="112"/>
      <c r="N38" s="53">
        <f t="shared" si="5"/>
        <v>0</v>
      </c>
      <c r="O38" s="53">
        <f t="shared" si="6"/>
        <v>0</v>
      </c>
      <c r="P38" s="1"/>
    </row>
    <row r="39" spans="2:16">
      <c r="B39" t="str">
        <f t="shared" si="0"/>
        <v/>
      </c>
      <c r="C39" s="49">
        <f>IF(D11="","-",+C38+1)</f>
        <v>2040</v>
      </c>
      <c r="D39" s="54">
        <f>IF(F38+SUM(E$17:E38)=D$10,F38,D$10-SUM(E$17:E38))</f>
        <v>2815505.9260884421</v>
      </c>
      <c r="E39" s="377">
        <f t="shared" si="24"/>
        <v>297822.14633333334</v>
      </c>
      <c r="F39" s="54">
        <f t="shared" si="25"/>
        <v>2517683.779755109</v>
      </c>
      <c r="G39" s="378">
        <f t="shared" si="26"/>
        <v>603013.73365928489</v>
      </c>
      <c r="H39" s="359">
        <f t="shared" si="27"/>
        <v>603013.73365928489</v>
      </c>
      <c r="I39" s="51">
        <f t="shared" si="1"/>
        <v>0</v>
      </c>
      <c r="J39" s="51"/>
      <c r="K39" s="112"/>
      <c r="L39" s="53">
        <f t="shared" si="3"/>
        <v>0</v>
      </c>
      <c r="M39" s="112"/>
      <c r="N39" s="53">
        <f t="shared" si="5"/>
        <v>0</v>
      </c>
      <c r="O39" s="53">
        <f t="shared" si="6"/>
        <v>0</v>
      </c>
      <c r="P39" s="1"/>
    </row>
    <row r="40" spans="2:16">
      <c r="B40" t="str">
        <f t="shared" si="0"/>
        <v/>
      </c>
      <c r="C40" s="49">
        <f>IF(D11="","-",+C39+1)</f>
        <v>2041</v>
      </c>
      <c r="D40" s="54">
        <f>IF(F39+SUM(E$17:E39)=D$10,F39,D$10-SUM(E$17:E39))</f>
        <v>2517683.779755109</v>
      </c>
      <c r="E40" s="377">
        <f t="shared" si="24"/>
        <v>297822.14633333334</v>
      </c>
      <c r="F40" s="54">
        <f t="shared" si="25"/>
        <v>2219861.6334217759</v>
      </c>
      <c r="G40" s="378">
        <f t="shared" si="26"/>
        <v>568928.01063289377</v>
      </c>
      <c r="H40" s="359">
        <f t="shared" si="27"/>
        <v>568928.01063289377</v>
      </c>
      <c r="I40" s="51">
        <f t="shared" si="1"/>
        <v>0</v>
      </c>
      <c r="J40" s="51"/>
      <c r="K40" s="112"/>
      <c r="L40" s="53">
        <f t="shared" si="3"/>
        <v>0</v>
      </c>
      <c r="M40" s="112"/>
      <c r="N40" s="53">
        <f t="shared" si="5"/>
        <v>0</v>
      </c>
      <c r="O40" s="53">
        <f t="shared" si="6"/>
        <v>0</v>
      </c>
      <c r="P40" s="1"/>
    </row>
    <row r="41" spans="2:16">
      <c r="B41" t="str">
        <f t="shared" si="0"/>
        <v/>
      </c>
      <c r="C41" s="49">
        <f>IF(D11="","-",+C40+1)</f>
        <v>2042</v>
      </c>
      <c r="D41" s="54">
        <f>IF(F40+SUM(E$17:E40)=D$10,F40,D$10-SUM(E$17:E40))</f>
        <v>2219861.6334217759</v>
      </c>
      <c r="E41" s="377">
        <f t="shared" si="24"/>
        <v>297822.14633333334</v>
      </c>
      <c r="F41" s="54">
        <f t="shared" si="25"/>
        <v>1922039.4870884425</v>
      </c>
      <c r="G41" s="378">
        <f t="shared" si="26"/>
        <v>534842.28760650265</v>
      </c>
      <c r="H41" s="359">
        <f t="shared" si="27"/>
        <v>534842.28760650265</v>
      </c>
      <c r="I41" s="51">
        <f t="shared" si="1"/>
        <v>0</v>
      </c>
      <c r="J41" s="51"/>
      <c r="K41" s="112"/>
      <c r="L41" s="53">
        <f t="shared" si="3"/>
        <v>0</v>
      </c>
      <c r="M41" s="112"/>
      <c r="N41" s="53">
        <f t="shared" si="5"/>
        <v>0</v>
      </c>
      <c r="O41" s="53">
        <f t="shared" si="6"/>
        <v>0</v>
      </c>
      <c r="P41" s="1"/>
    </row>
    <row r="42" spans="2:16">
      <c r="B42" t="str">
        <f t="shared" si="0"/>
        <v/>
      </c>
      <c r="C42" s="49">
        <f>IF(D11="","-",+C41+1)</f>
        <v>2043</v>
      </c>
      <c r="D42" s="54">
        <f>IF(F41+SUM(E$17:E41)=D$10,F41,D$10-SUM(E$17:E41))</f>
        <v>1922039.4870884425</v>
      </c>
      <c r="E42" s="377">
        <f t="shared" si="24"/>
        <v>297822.14633333334</v>
      </c>
      <c r="F42" s="54">
        <f t="shared" si="25"/>
        <v>1624217.3407551092</v>
      </c>
      <c r="G42" s="378">
        <f t="shared" si="26"/>
        <v>500756.56458011153</v>
      </c>
      <c r="H42" s="359">
        <f t="shared" si="27"/>
        <v>500756.56458011153</v>
      </c>
      <c r="I42" s="51">
        <f t="shared" si="1"/>
        <v>0</v>
      </c>
      <c r="J42" s="51"/>
      <c r="K42" s="112"/>
      <c r="L42" s="53">
        <f t="shared" si="3"/>
        <v>0</v>
      </c>
      <c r="M42" s="112"/>
      <c r="N42" s="53">
        <f t="shared" si="5"/>
        <v>0</v>
      </c>
      <c r="O42" s="53">
        <f t="shared" si="6"/>
        <v>0</v>
      </c>
      <c r="P42" s="1"/>
    </row>
    <row r="43" spans="2:16">
      <c r="B43" t="str">
        <f t="shared" si="0"/>
        <v/>
      </c>
      <c r="C43" s="49">
        <f>IF(D11="","-",+C42+1)</f>
        <v>2044</v>
      </c>
      <c r="D43" s="54">
        <f>IF(F42+SUM(E$17:E42)=D$10,F42,D$10-SUM(E$17:E42))</f>
        <v>1624217.3407551092</v>
      </c>
      <c r="E43" s="377">
        <f t="shared" si="24"/>
        <v>297822.14633333334</v>
      </c>
      <c r="F43" s="54">
        <f t="shared" si="25"/>
        <v>1326395.1944217759</v>
      </c>
      <c r="G43" s="378">
        <f t="shared" si="26"/>
        <v>466670.84155372041</v>
      </c>
      <c r="H43" s="359">
        <f t="shared" si="27"/>
        <v>466670.84155372041</v>
      </c>
      <c r="I43" s="51">
        <f t="shared" si="1"/>
        <v>0</v>
      </c>
      <c r="J43" s="51"/>
      <c r="K43" s="112"/>
      <c r="L43" s="53">
        <f t="shared" si="3"/>
        <v>0</v>
      </c>
      <c r="M43" s="112"/>
      <c r="N43" s="53">
        <f t="shared" si="5"/>
        <v>0</v>
      </c>
      <c r="O43" s="53">
        <f t="shared" si="6"/>
        <v>0</v>
      </c>
      <c r="P43" s="1"/>
    </row>
    <row r="44" spans="2:16">
      <c r="B44" t="str">
        <f t="shared" si="0"/>
        <v/>
      </c>
      <c r="C44" s="49">
        <f>IF(D11="","-",+C43+1)</f>
        <v>2045</v>
      </c>
      <c r="D44" s="54">
        <f>IF(F43+SUM(E$17:E43)=D$10,F43,D$10-SUM(E$17:E43))</f>
        <v>1326395.1944217759</v>
      </c>
      <c r="E44" s="377">
        <f t="shared" si="24"/>
        <v>297822.14633333334</v>
      </c>
      <c r="F44" s="54">
        <f t="shared" si="25"/>
        <v>1028573.0480884425</v>
      </c>
      <c r="G44" s="378">
        <f t="shared" si="26"/>
        <v>432585.11852732929</v>
      </c>
      <c r="H44" s="359">
        <f t="shared" si="27"/>
        <v>432585.11852732929</v>
      </c>
      <c r="I44" s="51">
        <f t="shared" si="1"/>
        <v>0</v>
      </c>
      <c r="J44" s="51"/>
      <c r="K44" s="112"/>
      <c r="L44" s="53">
        <f t="shared" si="3"/>
        <v>0</v>
      </c>
      <c r="M44" s="112"/>
      <c r="N44" s="53">
        <f t="shared" si="5"/>
        <v>0</v>
      </c>
      <c r="O44" s="53">
        <f t="shared" si="6"/>
        <v>0</v>
      </c>
      <c r="P44" s="1"/>
    </row>
    <row r="45" spans="2:16">
      <c r="B45" t="str">
        <f t="shared" si="0"/>
        <v/>
      </c>
      <c r="C45" s="49">
        <f>IF(D11="","-",+C44+1)</f>
        <v>2046</v>
      </c>
      <c r="D45" s="54">
        <f>IF(F44+SUM(E$17:E44)=D$10,F44,D$10-SUM(E$17:E44))</f>
        <v>1028573.0480884425</v>
      </c>
      <c r="E45" s="377">
        <f t="shared" si="24"/>
        <v>297822.14633333334</v>
      </c>
      <c r="F45" s="54">
        <f t="shared" si="25"/>
        <v>730750.9017551092</v>
      </c>
      <c r="G45" s="378">
        <f t="shared" si="26"/>
        <v>398499.39550093818</v>
      </c>
      <c r="H45" s="359">
        <f t="shared" si="27"/>
        <v>398499.39550093818</v>
      </c>
      <c r="I45" s="51">
        <f t="shared" si="1"/>
        <v>0</v>
      </c>
      <c r="J45" s="51"/>
      <c r="K45" s="112"/>
      <c r="L45" s="53">
        <f t="shared" si="3"/>
        <v>0</v>
      </c>
      <c r="M45" s="112"/>
      <c r="N45" s="53">
        <f t="shared" si="5"/>
        <v>0</v>
      </c>
      <c r="O45" s="53">
        <f t="shared" si="6"/>
        <v>0</v>
      </c>
      <c r="P45" s="1"/>
    </row>
    <row r="46" spans="2:16">
      <c r="B46" t="str">
        <f t="shared" si="0"/>
        <v/>
      </c>
      <c r="C46" s="49">
        <f>IF(D11="","-",+C45+1)</f>
        <v>2047</v>
      </c>
      <c r="D46" s="54">
        <f>IF(F45+SUM(E$17:E45)=D$10,F45,D$10-SUM(E$17:E45))</f>
        <v>730750.9017551092</v>
      </c>
      <c r="E46" s="377">
        <f t="shared" si="24"/>
        <v>297822.14633333334</v>
      </c>
      <c r="F46" s="54">
        <f t="shared" si="25"/>
        <v>432928.75542177586</v>
      </c>
      <c r="G46" s="378">
        <f t="shared" si="26"/>
        <v>364413.67247454706</v>
      </c>
      <c r="H46" s="359">
        <f t="shared" si="27"/>
        <v>364413.67247454706</v>
      </c>
      <c r="I46" s="51">
        <f t="shared" si="1"/>
        <v>0</v>
      </c>
      <c r="J46" s="51"/>
      <c r="K46" s="112"/>
      <c r="L46" s="53">
        <f t="shared" si="3"/>
        <v>0</v>
      </c>
      <c r="M46" s="112"/>
      <c r="N46" s="53">
        <f t="shared" si="5"/>
        <v>0</v>
      </c>
      <c r="O46" s="53">
        <f t="shared" si="6"/>
        <v>0</v>
      </c>
      <c r="P46" s="1"/>
    </row>
    <row r="47" spans="2:16">
      <c r="B47" t="str">
        <f t="shared" si="0"/>
        <v/>
      </c>
      <c r="C47" s="49">
        <f>IF(D11="","-",+C46+1)</f>
        <v>2048</v>
      </c>
      <c r="D47" s="54">
        <f>IF(F46+SUM(E$17:E46)=D$10,F46,D$10-SUM(E$17:E46))</f>
        <v>432928.75542177586</v>
      </c>
      <c r="E47" s="377">
        <f t="shared" si="24"/>
        <v>297822.14633333334</v>
      </c>
      <c r="F47" s="54">
        <f t="shared" si="25"/>
        <v>135106.60908844252</v>
      </c>
      <c r="G47" s="378">
        <f t="shared" si="26"/>
        <v>330327.94944815594</v>
      </c>
      <c r="H47" s="359">
        <f t="shared" si="27"/>
        <v>330327.94944815594</v>
      </c>
      <c r="I47" s="51">
        <f t="shared" si="1"/>
        <v>0</v>
      </c>
      <c r="J47" s="51"/>
      <c r="K47" s="112"/>
      <c r="L47" s="53">
        <f t="shared" si="3"/>
        <v>0</v>
      </c>
      <c r="M47" s="112"/>
      <c r="N47" s="53">
        <f t="shared" si="5"/>
        <v>0</v>
      </c>
      <c r="O47" s="53">
        <f t="shared" si="6"/>
        <v>0</v>
      </c>
      <c r="P47" s="1"/>
    </row>
    <row r="48" spans="2:16">
      <c r="B48" t="str">
        <f t="shared" si="0"/>
        <v/>
      </c>
      <c r="C48" s="49">
        <f>IF(D11="","-",+C47+1)</f>
        <v>2049</v>
      </c>
      <c r="D48" s="54">
        <f>IF(F47+SUM(E$17:E47)=D$10,F47,D$10-SUM(E$17:E47))</f>
        <v>135106.60908844252</v>
      </c>
      <c r="E48" s="377">
        <f t="shared" si="24"/>
        <v>135106.60908844252</v>
      </c>
      <c r="F48" s="54">
        <f t="shared" si="25"/>
        <v>0</v>
      </c>
      <c r="G48" s="378">
        <f t="shared" si="26"/>
        <v>142838.07988925604</v>
      </c>
      <c r="H48" s="359">
        <f t="shared" si="27"/>
        <v>142838.07988925604</v>
      </c>
      <c r="I48" s="51">
        <f t="shared" si="1"/>
        <v>0</v>
      </c>
      <c r="J48" s="51"/>
      <c r="K48" s="112"/>
      <c r="L48" s="53">
        <f t="shared" si="3"/>
        <v>0</v>
      </c>
      <c r="M48" s="112"/>
      <c r="N48" s="53">
        <f t="shared" si="5"/>
        <v>0</v>
      </c>
      <c r="O48" s="53">
        <f t="shared" si="6"/>
        <v>0</v>
      </c>
      <c r="P48" s="1"/>
    </row>
    <row r="49" spans="2:16">
      <c r="B49" t="str">
        <f t="shared" si="0"/>
        <v/>
      </c>
      <c r="C49" s="49">
        <f>IF(D11="","-",+C48+1)</f>
        <v>2050</v>
      </c>
      <c r="D49" s="54">
        <f>IF(F48+SUM(E$17:E48)=D$10,F48,D$10-SUM(E$17:E48))</f>
        <v>0</v>
      </c>
      <c r="E49" s="377">
        <f t="shared" si="24"/>
        <v>0</v>
      </c>
      <c r="F49" s="54">
        <f t="shared" si="25"/>
        <v>0</v>
      </c>
      <c r="G49" s="378">
        <f t="shared" si="26"/>
        <v>0</v>
      </c>
      <c r="H49" s="359">
        <f t="shared" si="27"/>
        <v>0</v>
      </c>
      <c r="I49" s="51">
        <f t="shared" si="1"/>
        <v>0</v>
      </c>
      <c r="J49" s="51"/>
      <c r="K49" s="112"/>
      <c r="L49" s="53">
        <f t="shared" si="3"/>
        <v>0</v>
      </c>
      <c r="M49" s="112"/>
      <c r="N49" s="53">
        <f t="shared" si="5"/>
        <v>0</v>
      </c>
      <c r="O49" s="53">
        <f t="shared" si="6"/>
        <v>0</v>
      </c>
      <c r="P49" s="1"/>
    </row>
    <row r="50" spans="2:16">
      <c r="B50" t="str">
        <f t="shared" si="0"/>
        <v/>
      </c>
      <c r="C50" s="49">
        <f>IF(D11="","-",+C49+1)</f>
        <v>2051</v>
      </c>
      <c r="D50" s="54">
        <f>IF(F49+SUM(E$17:E49)=D$10,F49,D$10-SUM(E$17:E49))</f>
        <v>0</v>
      </c>
      <c r="E50" s="377">
        <f t="shared" si="24"/>
        <v>0</v>
      </c>
      <c r="F50" s="54">
        <f t="shared" si="25"/>
        <v>0</v>
      </c>
      <c r="G50" s="378">
        <f t="shared" si="26"/>
        <v>0</v>
      </c>
      <c r="H50" s="359">
        <f t="shared" si="27"/>
        <v>0</v>
      </c>
      <c r="I50" s="51">
        <f t="shared" si="1"/>
        <v>0</v>
      </c>
      <c r="J50" s="51"/>
      <c r="K50" s="112"/>
      <c r="L50" s="53">
        <f t="shared" si="3"/>
        <v>0</v>
      </c>
      <c r="M50" s="112"/>
      <c r="N50" s="53">
        <f t="shared" si="5"/>
        <v>0</v>
      </c>
      <c r="O50" s="53">
        <f t="shared" si="6"/>
        <v>0</v>
      </c>
      <c r="P50" s="1"/>
    </row>
    <row r="51" spans="2:16">
      <c r="B51" t="str">
        <f t="shared" si="0"/>
        <v/>
      </c>
      <c r="C51" s="49">
        <f>IF(D11="","-",+C50+1)</f>
        <v>2052</v>
      </c>
      <c r="D51" s="54">
        <f>IF(F50+SUM(E$17:E50)=D$10,F50,D$10-SUM(E$17:E50))</f>
        <v>0</v>
      </c>
      <c r="E51" s="377">
        <f t="shared" si="24"/>
        <v>0</v>
      </c>
      <c r="F51" s="54">
        <f t="shared" si="25"/>
        <v>0</v>
      </c>
      <c r="G51" s="378">
        <f t="shared" si="26"/>
        <v>0</v>
      </c>
      <c r="H51" s="359">
        <f t="shared" si="27"/>
        <v>0</v>
      </c>
      <c r="I51" s="51">
        <f t="shared" si="1"/>
        <v>0</v>
      </c>
      <c r="J51" s="51"/>
      <c r="K51" s="112"/>
      <c r="L51" s="53">
        <f t="shared" si="3"/>
        <v>0</v>
      </c>
      <c r="M51" s="112"/>
      <c r="N51" s="53">
        <f t="shared" si="5"/>
        <v>0</v>
      </c>
      <c r="O51" s="53">
        <f t="shared" si="6"/>
        <v>0</v>
      </c>
      <c r="P51" s="1"/>
    </row>
    <row r="52" spans="2:16">
      <c r="B52" t="str">
        <f t="shared" si="0"/>
        <v/>
      </c>
      <c r="C52" s="49">
        <f>IF(D11="","-",+C51+1)</f>
        <v>2053</v>
      </c>
      <c r="D52" s="54">
        <f>IF(F51+SUM(E$17:E51)=D$10,F51,D$10-SUM(E$17:E51))</f>
        <v>0</v>
      </c>
      <c r="E52" s="377">
        <f t="shared" si="24"/>
        <v>0</v>
      </c>
      <c r="F52" s="54">
        <f t="shared" si="25"/>
        <v>0</v>
      </c>
      <c r="G52" s="378">
        <f t="shared" si="26"/>
        <v>0</v>
      </c>
      <c r="H52" s="359">
        <f t="shared" si="27"/>
        <v>0</v>
      </c>
      <c r="I52" s="51">
        <f t="shared" si="1"/>
        <v>0</v>
      </c>
      <c r="J52" s="51"/>
      <c r="K52" s="112"/>
      <c r="L52" s="53">
        <f t="shared" si="3"/>
        <v>0</v>
      </c>
      <c r="M52" s="112"/>
      <c r="N52" s="53">
        <f t="shared" si="5"/>
        <v>0</v>
      </c>
      <c r="O52" s="53">
        <f t="shared" si="6"/>
        <v>0</v>
      </c>
      <c r="P52" s="1"/>
    </row>
    <row r="53" spans="2:16">
      <c r="B53" t="str">
        <f t="shared" si="0"/>
        <v/>
      </c>
      <c r="C53" s="49">
        <f>IF(D11="","-",+C52+1)</f>
        <v>2054</v>
      </c>
      <c r="D53" s="54">
        <f>IF(F52+SUM(E$17:E52)=D$10,F52,D$10-SUM(E$17:E52))</f>
        <v>0</v>
      </c>
      <c r="E53" s="377">
        <f t="shared" si="24"/>
        <v>0</v>
      </c>
      <c r="F53" s="54">
        <f t="shared" si="25"/>
        <v>0</v>
      </c>
      <c r="G53" s="378">
        <f t="shared" si="26"/>
        <v>0</v>
      </c>
      <c r="H53" s="359">
        <f t="shared" si="27"/>
        <v>0</v>
      </c>
      <c r="I53" s="51">
        <f t="shared" si="1"/>
        <v>0</v>
      </c>
      <c r="J53" s="51"/>
      <c r="K53" s="112"/>
      <c r="L53" s="53">
        <f t="shared" si="3"/>
        <v>0</v>
      </c>
      <c r="M53" s="112"/>
      <c r="N53" s="53">
        <f t="shared" si="5"/>
        <v>0</v>
      </c>
      <c r="O53" s="53">
        <f t="shared" si="6"/>
        <v>0</v>
      </c>
      <c r="P53" s="1"/>
    </row>
    <row r="54" spans="2:16">
      <c r="B54" t="str">
        <f t="shared" si="0"/>
        <v/>
      </c>
      <c r="C54" s="49">
        <f>IF(D11="","-",+C53+1)</f>
        <v>2055</v>
      </c>
      <c r="D54" s="54">
        <f>IF(F53+SUM(E$17:E53)=D$10,F53,D$10-SUM(E$17:E53))</f>
        <v>0</v>
      </c>
      <c r="E54" s="377">
        <f t="shared" si="24"/>
        <v>0</v>
      </c>
      <c r="F54" s="54">
        <f t="shared" si="25"/>
        <v>0</v>
      </c>
      <c r="G54" s="378">
        <f t="shared" si="26"/>
        <v>0</v>
      </c>
      <c r="H54" s="359">
        <f t="shared" si="27"/>
        <v>0</v>
      </c>
      <c r="I54" s="51">
        <f t="shared" si="1"/>
        <v>0</v>
      </c>
      <c r="J54" s="51"/>
      <c r="K54" s="112"/>
      <c r="L54" s="53">
        <f t="shared" si="3"/>
        <v>0</v>
      </c>
      <c r="M54" s="112"/>
      <c r="N54" s="53">
        <f t="shared" si="5"/>
        <v>0</v>
      </c>
      <c r="O54" s="53">
        <f t="shared" si="6"/>
        <v>0</v>
      </c>
      <c r="P54" s="1"/>
    </row>
    <row r="55" spans="2:16">
      <c r="B55" t="str">
        <f t="shared" si="0"/>
        <v/>
      </c>
      <c r="C55" s="49">
        <f>IF(D11="","-",+C54+1)</f>
        <v>2056</v>
      </c>
      <c r="D55" s="54">
        <f>IF(F54+SUM(E$17:E54)=D$10,F54,D$10-SUM(E$17:E54))</f>
        <v>0</v>
      </c>
      <c r="E55" s="377">
        <f t="shared" si="24"/>
        <v>0</v>
      </c>
      <c r="F55" s="54">
        <f t="shared" si="25"/>
        <v>0</v>
      </c>
      <c r="G55" s="378">
        <f t="shared" si="26"/>
        <v>0</v>
      </c>
      <c r="H55" s="359">
        <f t="shared" si="27"/>
        <v>0</v>
      </c>
      <c r="I55" s="51">
        <f t="shared" si="1"/>
        <v>0</v>
      </c>
      <c r="J55" s="51"/>
      <c r="K55" s="112"/>
      <c r="L55" s="53">
        <f t="shared" si="3"/>
        <v>0</v>
      </c>
      <c r="M55" s="112"/>
      <c r="N55" s="53">
        <f t="shared" si="5"/>
        <v>0</v>
      </c>
      <c r="O55" s="53">
        <f t="shared" si="6"/>
        <v>0</v>
      </c>
      <c r="P55" s="1"/>
    </row>
    <row r="56" spans="2:16">
      <c r="B56" t="str">
        <f t="shared" si="0"/>
        <v/>
      </c>
      <c r="C56" s="49">
        <f>IF(D11="","-",+C55+1)</f>
        <v>2057</v>
      </c>
      <c r="D56" s="54">
        <f>IF(F55+SUM(E$17:E55)=D$10,F55,D$10-SUM(E$17:E55))</f>
        <v>0</v>
      </c>
      <c r="E56" s="377">
        <f t="shared" si="24"/>
        <v>0</v>
      </c>
      <c r="F56" s="54">
        <f t="shared" si="25"/>
        <v>0</v>
      </c>
      <c r="G56" s="378">
        <f t="shared" si="26"/>
        <v>0</v>
      </c>
      <c r="H56" s="359">
        <f t="shared" si="27"/>
        <v>0</v>
      </c>
      <c r="I56" s="51">
        <f t="shared" si="1"/>
        <v>0</v>
      </c>
      <c r="J56" s="51"/>
      <c r="K56" s="112"/>
      <c r="L56" s="53">
        <f t="shared" si="3"/>
        <v>0</v>
      </c>
      <c r="M56" s="112"/>
      <c r="N56" s="53">
        <f t="shared" si="5"/>
        <v>0</v>
      </c>
      <c r="O56" s="53">
        <f t="shared" si="6"/>
        <v>0</v>
      </c>
      <c r="P56" s="1"/>
    </row>
    <row r="57" spans="2:16">
      <c r="B57" t="str">
        <f t="shared" si="0"/>
        <v/>
      </c>
      <c r="C57" s="49">
        <f>IF(D11="","-",+C56+1)</f>
        <v>2058</v>
      </c>
      <c r="D57" s="54">
        <f>IF(F56+SUM(E$17:E56)=D$10,F56,D$10-SUM(E$17:E56))</f>
        <v>0</v>
      </c>
      <c r="E57" s="377">
        <f t="shared" si="24"/>
        <v>0</v>
      </c>
      <c r="F57" s="54">
        <f t="shared" si="25"/>
        <v>0</v>
      </c>
      <c r="G57" s="378">
        <f t="shared" si="26"/>
        <v>0</v>
      </c>
      <c r="H57" s="359">
        <f t="shared" si="27"/>
        <v>0</v>
      </c>
      <c r="I57" s="51">
        <f t="shared" si="1"/>
        <v>0</v>
      </c>
      <c r="J57" s="51"/>
      <c r="K57" s="112"/>
      <c r="L57" s="53">
        <f t="shared" si="3"/>
        <v>0</v>
      </c>
      <c r="M57" s="112"/>
      <c r="N57" s="53">
        <f t="shared" si="5"/>
        <v>0</v>
      </c>
      <c r="O57" s="53">
        <f t="shared" si="6"/>
        <v>0</v>
      </c>
      <c r="P57" s="1"/>
    </row>
    <row r="58" spans="2:16">
      <c r="B58" t="str">
        <f t="shared" si="0"/>
        <v/>
      </c>
      <c r="C58" s="49">
        <f>IF(D11="","-",+C57+1)</f>
        <v>2059</v>
      </c>
      <c r="D58" s="54">
        <f>IF(F57+SUM(E$17:E57)=D$10,F57,D$10-SUM(E$17:E57))</f>
        <v>0</v>
      </c>
      <c r="E58" s="377">
        <f t="shared" si="24"/>
        <v>0</v>
      </c>
      <c r="F58" s="54">
        <f t="shared" si="25"/>
        <v>0</v>
      </c>
      <c r="G58" s="378">
        <f t="shared" si="26"/>
        <v>0</v>
      </c>
      <c r="H58" s="359">
        <f t="shared" si="27"/>
        <v>0</v>
      </c>
      <c r="I58" s="51">
        <f t="shared" si="1"/>
        <v>0</v>
      </c>
      <c r="J58" s="51"/>
      <c r="K58" s="112"/>
      <c r="L58" s="53">
        <f t="shared" si="3"/>
        <v>0</v>
      </c>
      <c r="M58" s="112"/>
      <c r="N58" s="53">
        <f t="shared" si="5"/>
        <v>0</v>
      </c>
      <c r="O58" s="53">
        <f t="shared" si="6"/>
        <v>0</v>
      </c>
      <c r="P58" s="1"/>
    </row>
    <row r="59" spans="2:16">
      <c r="B59" t="str">
        <f t="shared" si="0"/>
        <v/>
      </c>
      <c r="C59" s="49">
        <f>IF(D11="","-",+C58+1)</f>
        <v>2060</v>
      </c>
      <c r="D59" s="54">
        <f>IF(F58+SUM(E$17:E58)=D$10,F58,D$10-SUM(E$17:E58))</f>
        <v>0</v>
      </c>
      <c r="E59" s="377">
        <f t="shared" si="24"/>
        <v>0</v>
      </c>
      <c r="F59" s="54">
        <f t="shared" si="25"/>
        <v>0</v>
      </c>
      <c r="G59" s="378">
        <f t="shared" si="26"/>
        <v>0</v>
      </c>
      <c r="H59" s="359">
        <f t="shared" si="27"/>
        <v>0</v>
      </c>
      <c r="I59" s="51">
        <f t="shared" si="1"/>
        <v>0</v>
      </c>
      <c r="J59" s="51"/>
      <c r="K59" s="112"/>
      <c r="L59" s="53">
        <f t="shared" si="3"/>
        <v>0</v>
      </c>
      <c r="M59" s="112"/>
      <c r="N59" s="53">
        <f t="shared" si="5"/>
        <v>0</v>
      </c>
      <c r="O59" s="53">
        <f t="shared" si="6"/>
        <v>0</v>
      </c>
      <c r="P59" s="1"/>
    </row>
    <row r="60" spans="2:16">
      <c r="B60" t="str">
        <f t="shared" si="0"/>
        <v/>
      </c>
      <c r="C60" s="49">
        <f>IF(D11="","-",+C59+1)</f>
        <v>2061</v>
      </c>
      <c r="D60" s="54">
        <f>IF(F59+SUM(E$17:E59)=D$10,F59,D$10-SUM(E$17:E59))</f>
        <v>0</v>
      </c>
      <c r="E60" s="377">
        <f t="shared" si="24"/>
        <v>0</v>
      </c>
      <c r="F60" s="54">
        <f t="shared" si="25"/>
        <v>0</v>
      </c>
      <c r="G60" s="378">
        <f t="shared" si="26"/>
        <v>0</v>
      </c>
      <c r="H60" s="359">
        <f t="shared" si="27"/>
        <v>0</v>
      </c>
      <c r="I60" s="51">
        <f t="shared" si="1"/>
        <v>0</v>
      </c>
      <c r="J60" s="51"/>
      <c r="K60" s="112"/>
      <c r="L60" s="53">
        <f t="shared" si="3"/>
        <v>0</v>
      </c>
      <c r="M60" s="112"/>
      <c r="N60" s="53">
        <f t="shared" si="5"/>
        <v>0</v>
      </c>
      <c r="O60" s="53">
        <f t="shared" si="6"/>
        <v>0</v>
      </c>
      <c r="P60" s="1"/>
    </row>
    <row r="61" spans="2:16">
      <c r="B61" t="str">
        <f t="shared" si="0"/>
        <v/>
      </c>
      <c r="C61" s="49">
        <f>IF(D11="","-",+C60+1)</f>
        <v>2062</v>
      </c>
      <c r="D61" s="54">
        <f>IF(F60+SUM(E$17:E60)=D$10,F60,D$10-SUM(E$17:E60))</f>
        <v>0</v>
      </c>
      <c r="E61" s="377">
        <f t="shared" si="24"/>
        <v>0</v>
      </c>
      <c r="F61" s="54">
        <f t="shared" si="25"/>
        <v>0</v>
      </c>
      <c r="G61" s="388">
        <f t="shared" si="26"/>
        <v>0</v>
      </c>
      <c r="H61" s="359">
        <f t="shared" si="27"/>
        <v>0</v>
      </c>
      <c r="I61" s="51">
        <f t="shared" si="1"/>
        <v>0</v>
      </c>
      <c r="J61" s="51"/>
      <c r="K61" s="112"/>
      <c r="L61" s="53">
        <f t="shared" si="3"/>
        <v>0</v>
      </c>
      <c r="M61" s="112"/>
      <c r="N61" s="53">
        <f t="shared" si="5"/>
        <v>0</v>
      </c>
      <c r="O61" s="53">
        <f t="shared" si="6"/>
        <v>0</v>
      </c>
      <c r="P61" s="1"/>
    </row>
    <row r="62" spans="2:16">
      <c r="B62" t="str">
        <f t="shared" si="0"/>
        <v/>
      </c>
      <c r="C62" s="49">
        <f>IF(D11="","-",+C61+1)</f>
        <v>2063</v>
      </c>
      <c r="D62" s="54">
        <f>IF(F61+SUM(E$17:E61)=D$10,F61,D$10-SUM(E$17:E61))</f>
        <v>0</v>
      </c>
      <c r="E62" s="377">
        <f t="shared" si="24"/>
        <v>0</v>
      </c>
      <c r="F62" s="54">
        <f t="shared" si="25"/>
        <v>0</v>
      </c>
      <c r="G62" s="388">
        <f t="shared" si="26"/>
        <v>0</v>
      </c>
      <c r="H62" s="359">
        <f t="shared" si="27"/>
        <v>0</v>
      </c>
      <c r="I62" s="51">
        <f t="shared" si="1"/>
        <v>0</v>
      </c>
      <c r="J62" s="51"/>
      <c r="K62" s="112"/>
      <c r="L62" s="53">
        <f t="shared" si="3"/>
        <v>0</v>
      </c>
      <c r="M62" s="112"/>
      <c r="N62" s="53">
        <f t="shared" si="5"/>
        <v>0</v>
      </c>
      <c r="O62" s="53">
        <f t="shared" si="6"/>
        <v>0</v>
      </c>
      <c r="P62" s="1"/>
    </row>
    <row r="63" spans="2:16">
      <c r="B63" t="str">
        <f t="shared" si="0"/>
        <v/>
      </c>
      <c r="C63" s="49">
        <f>IF(D11="","-",+C62+1)</f>
        <v>2064</v>
      </c>
      <c r="D63" s="54">
        <f>IF(F62+SUM(E$17:E62)=D$10,F62,D$10-SUM(E$17:E62))</f>
        <v>0</v>
      </c>
      <c r="E63" s="377">
        <f t="shared" si="24"/>
        <v>0</v>
      </c>
      <c r="F63" s="54">
        <f t="shared" si="25"/>
        <v>0</v>
      </c>
      <c r="G63" s="388">
        <f t="shared" si="26"/>
        <v>0</v>
      </c>
      <c r="H63" s="359">
        <f t="shared" si="27"/>
        <v>0</v>
      </c>
      <c r="I63" s="51">
        <f t="shared" si="1"/>
        <v>0</v>
      </c>
      <c r="J63" s="51"/>
      <c r="K63" s="112"/>
      <c r="L63" s="53">
        <f t="shared" si="3"/>
        <v>0</v>
      </c>
      <c r="M63" s="112"/>
      <c r="N63" s="53">
        <f t="shared" si="5"/>
        <v>0</v>
      </c>
      <c r="O63" s="53">
        <f t="shared" si="6"/>
        <v>0</v>
      </c>
      <c r="P63" s="1"/>
    </row>
    <row r="64" spans="2:16">
      <c r="B64" t="str">
        <f t="shared" si="0"/>
        <v/>
      </c>
      <c r="C64" s="49">
        <f>IF(D11="","-",+C63+1)</f>
        <v>2065</v>
      </c>
      <c r="D64" s="54">
        <f>IF(F63+SUM(E$17:E63)=D$10,F63,D$10-SUM(E$17:E63))</f>
        <v>0</v>
      </c>
      <c r="E64" s="377">
        <f t="shared" si="24"/>
        <v>0</v>
      </c>
      <c r="F64" s="54">
        <f t="shared" si="25"/>
        <v>0</v>
      </c>
      <c r="G64" s="388">
        <f t="shared" si="26"/>
        <v>0</v>
      </c>
      <c r="H64" s="359">
        <f t="shared" si="27"/>
        <v>0</v>
      </c>
      <c r="I64" s="51">
        <f t="shared" si="1"/>
        <v>0</v>
      </c>
      <c r="J64" s="51"/>
      <c r="K64" s="112"/>
      <c r="L64" s="53">
        <f t="shared" si="3"/>
        <v>0</v>
      </c>
      <c r="M64" s="112"/>
      <c r="N64" s="53">
        <f t="shared" si="5"/>
        <v>0</v>
      </c>
      <c r="O64" s="53">
        <f t="shared" si="6"/>
        <v>0</v>
      </c>
      <c r="P64" s="1"/>
    </row>
    <row r="65" spans="2:16">
      <c r="B65" t="str">
        <f t="shared" si="0"/>
        <v/>
      </c>
      <c r="C65" s="49">
        <f>IF(D11="","-",+C64+1)</f>
        <v>2066</v>
      </c>
      <c r="D65" s="54">
        <f>IF(F64+SUM(E$17:E64)=D$10,F64,D$10-SUM(E$17:E64))</f>
        <v>0</v>
      </c>
      <c r="E65" s="377">
        <f t="shared" si="24"/>
        <v>0</v>
      </c>
      <c r="F65" s="54">
        <f t="shared" si="25"/>
        <v>0</v>
      </c>
      <c r="G65" s="388">
        <f t="shared" si="26"/>
        <v>0</v>
      </c>
      <c r="H65" s="359">
        <f t="shared" si="27"/>
        <v>0</v>
      </c>
      <c r="I65" s="51">
        <f t="shared" si="1"/>
        <v>0</v>
      </c>
      <c r="J65" s="51"/>
      <c r="K65" s="112"/>
      <c r="L65" s="53">
        <f t="shared" si="3"/>
        <v>0</v>
      </c>
      <c r="M65" s="112"/>
      <c r="N65" s="53">
        <f t="shared" si="5"/>
        <v>0</v>
      </c>
      <c r="O65" s="53">
        <f t="shared" si="6"/>
        <v>0</v>
      </c>
      <c r="P65" s="1"/>
    </row>
    <row r="66" spans="2:16">
      <c r="B66" t="str">
        <f t="shared" si="0"/>
        <v/>
      </c>
      <c r="C66" s="49">
        <f>IF(D11="","-",+C65+1)</f>
        <v>2067</v>
      </c>
      <c r="D66" s="54">
        <f>IF(F65+SUM(E$17:E65)=D$10,F65,D$10-SUM(E$17:E65))</f>
        <v>0</v>
      </c>
      <c r="E66" s="377">
        <f t="shared" si="24"/>
        <v>0</v>
      </c>
      <c r="F66" s="54">
        <f t="shared" si="25"/>
        <v>0</v>
      </c>
      <c r="G66" s="388">
        <f t="shared" si="26"/>
        <v>0</v>
      </c>
      <c r="H66" s="359">
        <f t="shared" si="27"/>
        <v>0</v>
      </c>
      <c r="I66" s="51">
        <f t="shared" si="1"/>
        <v>0</v>
      </c>
      <c r="J66" s="51"/>
      <c r="K66" s="112"/>
      <c r="L66" s="53">
        <f t="shared" si="3"/>
        <v>0</v>
      </c>
      <c r="M66" s="112"/>
      <c r="N66" s="53">
        <f t="shared" si="5"/>
        <v>0</v>
      </c>
      <c r="O66" s="53">
        <f t="shared" si="6"/>
        <v>0</v>
      </c>
      <c r="P66" s="1"/>
    </row>
    <row r="67" spans="2:16">
      <c r="B67" t="str">
        <f t="shared" si="0"/>
        <v/>
      </c>
      <c r="C67" s="49">
        <f>IF(D11="","-",+C66+1)</f>
        <v>2068</v>
      </c>
      <c r="D67" s="54">
        <f>IF(F66+SUM(E$17:E66)=D$10,F66,D$10-SUM(E$17:E66))</f>
        <v>0</v>
      </c>
      <c r="E67" s="377">
        <f t="shared" si="24"/>
        <v>0</v>
      </c>
      <c r="F67" s="54">
        <f t="shared" si="25"/>
        <v>0</v>
      </c>
      <c r="G67" s="388">
        <f t="shared" si="26"/>
        <v>0</v>
      </c>
      <c r="H67" s="359">
        <f t="shared" si="27"/>
        <v>0</v>
      </c>
      <c r="I67" s="51">
        <f t="shared" si="1"/>
        <v>0</v>
      </c>
      <c r="J67" s="51"/>
      <c r="K67" s="112"/>
      <c r="L67" s="53">
        <f t="shared" si="3"/>
        <v>0</v>
      </c>
      <c r="M67" s="112"/>
      <c r="N67" s="53">
        <f t="shared" si="5"/>
        <v>0</v>
      </c>
      <c r="O67" s="53">
        <f t="shared" si="6"/>
        <v>0</v>
      </c>
      <c r="P67" s="1"/>
    </row>
    <row r="68" spans="2:16">
      <c r="B68" t="str">
        <f t="shared" si="0"/>
        <v/>
      </c>
      <c r="C68" s="49">
        <f>IF(D11="","-",+C67+1)</f>
        <v>2069</v>
      </c>
      <c r="D68" s="54">
        <f>IF(F67+SUM(E$17:E67)=D$10,F67,D$10-SUM(E$17:E67))</f>
        <v>0</v>
      </c>
      <c r="E68" s="377">
        <f t="shared" si="24"/>
        <v>0</v>
      </c>
      <c r="F68" s="54">
        <f t="shared" si="25"/>
        <v>0</v>
      </c>
      <c r="G68" s="388">
        <f t="shared" si="26"/>
        <v>0</v>
      </c>
      <c r="H68" s="359">
        <f t="shared" si="27"/>
        <v>0</v>
      </c>
      <c r="I68" s="51">
        <f t="shared" si="1"/>
        <v>0</v>
      </c>
      <c r="J68" s="51"/>
      <c r="K68" s="112"/>
      <c r="L68" s="53">
        <f t="shared" si="3"/>
        <v>0</v>
      </c>
      <c r="M68" s="112"/>
      <c r="N68" s="53">
        <f t="shared" si="5"/>
        <v>0</v>
      </c>
      <c r="O68" s="53">
        <f t="shared" si="6"/>
        <v>0</v>
      </c>
      <c r="P68" s="1"/>
    </row>
    <row r="69" spans="2:16">
      <c r="B69" t="str">
        <f t="shared" si="0"/>
        <v/>
      </c>
      <c r="C69" s="49">
        <f>IF(D11="","-",+C68+1)</f>
        <v>2070</v>
      </c>
      <c r="D69" s="54">
        <f>IF(F68+SUM(E$17:E68)=D$10,F68,D$10-SUM(E$17:E68))</f>
        <v>0</v>
      </c>
      <c r="E69" s="377">
        <f t="shared" si="24"/>
        <v>0</v>
      </c>
      <c r="F69" s="54">
        <f t="shared" si="25"/>
        <v>0</v>
      </c>
      <c r="G69" s="388">
        <f t="shared" si="26"/>
        <v>0</v>
      </c>
      <c r="H69" s="359">
        <f t="shared" si="27"/>
        <v>0</v>
      </c>
      <c r="I69" s="51">
        <f t="shared" si="1"/>
        <v>0</v>
      </c>
      <c r="J69" s="51"/>
      <c r="K69" s="112"/>
      <c r="L69" s="53">
        <f t="shared" si="3"/>
        <v>0</v>
      </c>
      <c r="M69" s="112"/>
      <c r="N69" s="53">
        <f t="shared" si="5"/>
        <v>0</v>
      </c>
      <c r="O69" s="53">
        <f t="shared" si="6"/>
        <v>0</v>
      </c>
      <c r="P69" s="1"/>
    </row>
    <row r="70" spans="2:16">
      <c r="B70" t="str">
        <f t="shared" si="0"/>
        <v/>
      </c>
      <c r="C70" s="49">
        <f>IF(D11="","-",+C69+1)</f>
        <v>2071</v>
      </c>
      <c r="D70" s="54">
        <f>IF(F69+SUM(E$17:E69)=D$10,F69,D$10-SUM(E$17:E69))</f>
        <v>0</v>
      </c>
      <c r="E70" s="377">
        <f t="shared" si="24"/>
        <v>0</v>
      </c>
      <c r="F70" s="54">
        <f t="shared" si="25"/>
        <v>0</v>
      </c>
      <c r="G70" s="388">
        <f t="shared" si="26"/>
        <v>0</v>
      </c>
      <c r="H70" s="359">
        <f t="shared" si="27"/>
        <v>0</v>
      </c>
      <c r="I70" s="51">
        <f t="shared" si="1"/>
        <v>0</v>
      </c>
      <c r="J70" s="51"/>
      <c r="K70" s="112"/>
      <c r="L70" s="53">
        <f t="shared" si="3"/>
        <v>0</v>
      </c>
      <c r="M70" s="112"/>
      <c r="N70" s="53">
        <f t="shared" si="5"/>
        <v>0</v>
      </c>
      <c r="O70" s="53">
        <f t="shared" si="6"/>
        <v>0</v>
      </c>
      <c r="P70" s="1"/>
    </row>
    <row r="71" spans="2:16">
      <c r="B71" t="str">
        <f t="shared" si="0"/>
        <v/>
      </c>
      <c r="C71" s="49">
        <f>IF(D11="","-",+C70+1)</f>
        <v>2072</v>
      </c>
      <c r="D71" s="54">
        <f>IF(F70+SUM(E$17:E70)=D$10,F70,D$10-SUM(E$17:E70))</f>
        <v>0</v>
      </c>
      <c r="E71" s="377">
        <f t="shared" si="24"/>
        <v>0</v>
      </c>
      <c r="F71" s="54">
        <f t="shared" si="25"/>
        <v>0</v>
      </c>
      <c r="G71" s="388">
        <f t="shared" si="26"/>
        <v>0</v>
      </c>
      <c r="H71" s="359">
        <f t="shared" si="27"/>
        <v>0</v>
      </c>
      <c r="I71" s="51">
        <f t="shared" si="1"/>
        <v>0</v>
      </c>
      <c r="J71" s="51"/>
      <c r="K71" s="112"/>
      <c r="L71" s="53">
        <f t="shared" si="3"/>
        <v>0</v>
      </c>
      <c r="M71" s="112"/>
      <c r="N71" s="53">
        <f t="shared" si="5"/>
        <v>0</v>
      </c>
      <c r="O71" s="53">
        <f t="shared" si="6"/>
        <v>0</v>
      </c>
      <c r="P71" s="1"/>
    </row>
    <row r="72" spans="2:16">
      <c r="C72" s="49">
        <f>IF(D12="","-",+C71+1)</f>
        <v>2073</v>
      </c>
      <c r="D72" s="54">
        <f>IF(F71+SUM(E$17:E71)=D$10,F71,D$10-SUM(E$17:E71))</f>
        <v>0</v>
      </c>
      <c r="E72" s="377">
        <f>IF(+I$14&lt;F71,I$14,D72)</f>
        <v>0</v>
      </c>
      <c r="F72" s="54">
        <f>+D72-E72</f>
        <v>0</v>
      </c>
      <c r="G72" s="388">
        <f>(D72+F72)/2*I$12+E72</f>
        <v>0</v>
      </c>
      <c r="H72" s="359">
        <f>+(D72+F72)/2*I$13+E72</f>
        <v>0</v>
      </c>
      <c r="I72" s="51">
        <f>H72-G72</f>
        <v>0</v>
      </c>
      <c r="J72" s="51"/>
      <c r="K72" s="112"/>
      <c r="L72" s="53">
        <f>IF(K72&lt;&gt;0,+G72-K72,0)</f>
        <v>0</v>
      </c>
      <c r="M72" s="112"/>
      <c r="N72" s="53">
        <f>IF(M72&lt;&gt;0,+H72-M72,0)</f>
        <v>0</v>
      </c>
      <c r="O72" s="53">
        <f>+N72-L72</f>
        <v>0</v>
      </c>
      <c r="P72" s="1"/>
    </row>
    <row r="73" spans="2:16" ht="13.5" thickBot="1">
      <c r="B73" t="str">
        <f>IF(D73=F71,"","IU")</f>
        <v/>
      </c>
      <c r="C73" s="58">
        <f>IF(D13="","-",+C72+1)</f>
        <v>2074</v>
      </c>
      <c r="D73" s="389">
        <f>IF(F72+SUM(E$17:E72)=D$10,F72,D$10-SUM(E$17:E72))</f>
        <v>0</v>
      </c>
      <c r="E73" s="389">
        <f>IF(+I$14&lt;F72,I$14,D73)</f>
        <v>0</v>
      </c>
      <c r="F73" s="59">
        <f>+D73-E73</f>
        <v>0</v>
      </c>
      <c r="G73" s="390">
        <f>(D73+F73)/2*I$12+E73</f>
        <v>0</v>
      </c>
      <c r="H73" s="357">
        <f>+(D73+F73)/2*I$13+E73</f>
        <v>0</v>
      </c>
      <c r="I73" s="62">
        <f>H73-G73</f>
        <v>0</v>
      </c>
      <c r="J73" s="51"/>
      <c r="K73" s="113"/>
      <c r="L73" s="63">
        <f>IF(K73&lt;&gt;0,+G73-K73,0)</f>
        <v>0</v>
      </c>
      <c r="M73" s="113"/>
      <c r="N73" s="63">
        <f>IF(M73&lt;&gt;0,+H73-M73,0)</f>
        <v>0</v>
      </c>
      <c r="O73" s="63">
        <f>+N73-L73</f>
        <v>0</v>
      </c>
      <c r="P73" s="1"/>
    </row>
    <row r="74" spans="2:16">
      <c r="C74" s="11" t="s">
        <v>75</v>
      </c>
      <c r="D74" s="242"/>
      <c r="E74" s="242">
        <f>SUM(E17:E73)</f>
        <v>8934664.3900000006</v>
      </c>
      <c r="F74" s="242"/>
      <c r="G74" s="242">
        <f>SUM(G17:G73)</f>
        <v>24879305.494440272</v>
      </c>
      <c r="H74" s="242">
        <f>SUM(H17:H73)</f>
        <v>24879305.494440272</v>
      </c>
      <c r="I74" s="242">
        <f>SUM(I17:I73)</f>
        <v>0</v>
      </c>
      <c r="J74" s="242"/>
      <c r="K74" s="242"/>
      <c r="L74" s="242"/>
      <c r="M74" s="242"/>
      <c r="N74" s="242"/>
      <c r="O74" s="1"/>
      <c r="P74" s="1"/>
    </row>
    <row r="75" spans="2:16">
      <c r="D75" s="2"/>
      <c r="E75" s="1"/>
      <c r="F75" s="1"/>
      <c r="G75" s="1"/>
      <c r="H75" s="260"/>
      <c r="I75" s="260"/>
      <c r="J75" s="242"/>
      <c r="K75" s="260"/>
      <c r="L75" s="260"/>
      <c r="M75" s="260"/>
      <c r="N75" s="260"/>
      <c r="O75" s="1"/>
      <c r="P75" s="1"/>
    </row>
    <row r="76" spans="2:16">
      <c r="C76" s="29" t="s">
        <v>95</v>
      </c>
      <c r="D76" s="2"/>
      <c r="E76" s="1"/>
      <c r="F76" s="1"/>
      <c r="G76" s="1"/>
      <c r="H76" s="260"/>
      <c r="I76" s="260"/>
      <c r="J76" s="242"/>
      <c r="K76" s="260"/>
      <c r="L76" s="260"/>
      <c r="M76" s="260"/>
      <c r="N76" s="260"/>
      <c r="O76" s="1"/>
      <c r="P76" s="1"/>
    </row>
    <row r="77" spans="2:16">
      <c r="C77" s="25" t="s">
        <v>76</v>
      </c>
      <c r="D77" s="2"/>
      <c r="E77" s="1"/>
      <c r="F77" s="1"/>
      <c r="G77" s="1"/>
      <c r="H77" s="260"/>
      <c r="I77" s="260"/>
      <c r="J77" s="242"/>
      <c r="K77" s="260"/>
      <c r="L77" s="260"/>
      <c r="M77" s="260"/>
      <c r="N77" s="260"/>
      <c r="O77" s="1"/>
      <c r="P77" s="1"/>
    </row>
    <row r="78" spans="2:16">
      <c r="C78" s="25" t="s">
        <v>77</v>
      </c>
      <c r="D78" s="11"/>
      <c r="E78" s="11"/>
      <c r="F78" s="11"/>
      <c r="G78" s="242"/>
      <c r="H78" s="242"/>
      <c r="I78" s="64"/>
      <c r="J78" s="64"/>
      <c r="K78" s="64"/>
      <c r="L78" s="64"/>
      <c r="M78" s="64"/>
      <c r="N78" s="64"/>
      <c r="O78" s="1"/>
      <c r="P78" s="1"/>
    </row>
    <row r="79" spans="2:16">
      <c r="C79" s="25"/>
      <c r="D79" s="11"/>
      <c r="E79" s="11"/>
      <c r="F79" s="11"/>
      <c r="G79" s="242"/>
      <c r="H79" s="242"/>
      <c r="I79" s="64"/>
      <c r="J79" s="64"/>
      <c r="K79" s="64"/>
      <c r="L79" s="64"/>
      <c r="M79" s="64"/>
      <c r="N79" s="64"/>
      <c r="O79" s="1"/>
      <c r="P79" s="1"/>
    </row>
    <row r="80" spans="2:16">
      <c r="B80" s="1"/>
      <c r="C80" s="1"/>
      <c r="D80" s="2"/>
      <c r="E80" s="1"/>
      <c r="F80" s="11"/>
      <c r="G80" s="1"/>
      <c r="H80" s="260"/>
      <c r="I80" s="1"/>
      <c r="J80" s="1"/>
      <c r="K80" s="1"/>
      <c r="L80" s="1"/>
      <c r="M80" s="1"/>
      <c r="N80" s="1"/>
      <c r="O80" s="1"/>
      <c r="P80" s="1"/>
    </row>
    <row r="81" spans="1:16" ht="18">
      <c r="B81" s="1"/>
      <c r="C81" s="92"/>
      <c r="D81" s="2"/>
      <c r="E81" s="1"/>
      <c r="F81" s="11"/>
      <c r="G81" s="1"/>
      <c r="H81" s="260"/>
      <c r="I81" s="1"/>
      <c r="J81" s="1"/>
      <c r="K81" s="1"/>
      <c r="L81" s="1"/>
      <c r="M81" s="1"/>
      <c r="N81" s="1"/>
      <c r="P81" s="94" t="s">
        <v>128</v>
      </c>
    </row>
    <row r="82" spans="1:16">
      <c r="B82" s="1"/>
      <c r="C82" s="1"/>
      <c r="D82" s="2"/>
      <c r="E82" s="1"/>
      <c r="F82" s="11"/>
      <c r="G82" s="1"/>
      <c r="H82" s="260"/>
      <c r="I82" s="1"/>
      <c r="J82" s="1"/>
      <c r="K82" s="1"/>
      <c r="L82" s="1"/>
      <c r="M82" s="1"/>
      <c r="N82" s="1"/>
      <c r="O82" s="1"/>
      <c r="P82" s="1"/>
    </row>
    <row r="83" spans="1:16">
      <c r="B83" s="1"/>
      <c r="C83" s="1"/>
      <c r="D83" s="2"/>
      <c r="E83" s="1"/>
      <c r="F83" s="11"/>
      <c r="G83" s="1"/>
      <c r="H83" s="260"/>
      <c r="I83" s="1"/>
      <c r="J83" s="1"/>
      <c r="K83" s="1"/>
      <c r="L83" s="1"/>
      <c r="M83" s="1"/>
      <c r="N83" s="1"/>
      <c r="O83" s="1"/>
      <c r="P83" s="1"/>
    </row>
    <row r="84" spans="1:16" ht="20.25">
      <c r="A84" s="93" t="s">
        <v>190</v>
      </c>
      <c r="B84" s="1"/>
      <c r="C84" s="1"/>
      <c r="D84" s="2"/>
      <c r="E84" s="1"/>
      <c r="F84" s="7"/>
      <c r="G84" s="7"/>
      <c r="H84" s="1"/>
      <c r="I84" s="260"/>
      <c r="L84" s="12"/>
      <c r="M84" s="12"/>
      <c r="P84" s="12" t="str">
        <f ca="1">P1</f>
        <v>OKT Project 18 of 26</v>
      </c>
    </row>
    <row r="85" spans="1:16" ht="18">
      <c r="B85" s="1"/>
      <c r="C85" s="1"/>
      <c r="D85" s="2"/>
      <c r="E85" s="1"/>
      <c r="F85" s="1"/>
      <c r="G85" s="1"/>
      <c r="H85" s="1"/>
      <c r="I85" s="260"/>
      <c r="J85" s="1"/>
      <c r="K85" s="1"/>
      <c r="L85" s="1"/>
      <c r="M85" s="1"/>
      <c r="P85" s="99" t="s">
        <v>132</v>
      </c>
    </row>
    <row r="86" spans="1:16" ht="18.75" thickBot="1">
      <c r="B86" s="4" t="s">
        <v>42</v>
      </c>
      <c r="C86" s="66" t="s">
        <v>81</v>
      </c>
      <c r="D86" s="2"/>
      <c r="E86" s="1"/>
      <c r="F86" s="1"/>
      <c r="G86" s="1"/>
      <c r="H86" s="1"/>
      <c r="I86" s="260"/>
      <c r="J86" s="260"/>
      <c r="K86" s="242"/>
      <c r="L86" s="260"/>
      <c r="M86" s="260"/>
      <c r="N86" s="260"/>
      <c r="O86" s="242"/>
      <c r="P86" s="1"/>
    </row>
    <row r="87" spans="1:16" ht="15.75" thickBot="1">
      <c r="C87" s="250"/>
      <c r="D87" s="2"/>
      <c r="E87" s="1"/>
      <c r="F87" s="1"/>
      <c r="G87" s="1"/>
      <c r="H87" s="1"/>
      <c r="I87" s="260"/>
      <c r="J87" s="260"/>
      <c r="K87" s="242"/>
      <c r="L87" s="100">
        <f>+J93</f>
        <v>2025</v>
      </c>
      <c r="M87" s="392" t="s">
        <v>9</v>
      </c>
      <c r="N87" s="393" t="s">
        <v>134</v>
      </c>
      <c r="O87" s="394" t="s">
        <v>11</v>
      </c>
      <c r="P87" s="1"/>
    </row>
    <row r="88" spans="1:16" ht="15">
      <c r="C88" s="90" t="s">
        <v>44</v>
      </c>
      <c r="D88" s="2"/>
      <c r="E88" s="1"/>
      <c r="F88" s="1"/>
      <c r="G88" s="1"/>
      <c r="H88" s="349"/>
      <c r="I88" s="1" t="s">
        <v>45</v>
      </c>
      <c r="J88" s="1"/>
      <c r="K88" s="104"/>
      <c r="L88" s="395" t="s">
        <v>253</v>
      </c>
      <c r="M88" s="396">
        <f>IF(J93&lt;D11,0,VLOOKUP(J93,C17:O73,9))</f>
        <v>1114299.5790551514</v>
      </c>
      <c r="N88" s="396">
        <f>IF(J93&lt;D11,0,VLOOKUP(J93,C17:O73,11))</f>
        <v>1114299.5790551514</v>
      </c>
      <c r="O88" s="68">
        <f>+N88-M88</f>
        <v>0</v>
      </c>
      <c r="P88" s="1"/>
    </row>
    <row r="89" spans="1:16" ht="15.75">
      <c r="C89" s="6"/>
      <c r="D89" s="2"/>
      <c r="E89" s="1"/>
      <c r="F89" s="1"/>
      <c r="G89" s="1"/>
      <c r="H89" s="1"/>
      <c r="I89" s="351"/>
      <c r="J89" s="351"/>
      <c r="K89" s="397"/>
      <c r="L89" s="398" t="s">
        <v>254</v>
      </c>
      <c r="M89" s="399">
        <f>IF(J93&lt;D11,0,VLOOKUP(J93,C100:P155,6))</f>
        <v>986745.94274972193</v>
      </c>
      <c r="N89" s="399">
        <f>IF(J93&lt;D11,0,VLOOKUP(J93,C100:P155,7))</f>
        <v>986745.94274972193</v>
      </c>
      <c r="O89" s="70">
        <f>+N89-M89</f>
        <v>0</v>
      </c>
      <c r="P89" s="1"/>
    </row>
    <row r="90" spans="1:16" ht="13.5" thickBot="1">
      <c r="C90" s="25" t="s">
        <v>82</v>
      </c>
      <c r="D90" s="96" t="str">
        <f>+D7</f>
        <v>Duncan-Comanche Tap 69 KV Rebuild</v>
      </c>
      <c r="E90" s="1"/>
      <c r="F90" s="1"/>
      <c r="G90" s="1"/>
      <c r="H90" s="1"/>
      <c r="I90" s="260"/>
      <c r="J90" s="260"/>
      <c r="K90" s="400"/>
      <c r="L90" s="109" t="s">
        <v>135</v>
      </c>
      <c r="M90" s="401">
        <f>+M89-M88</f>
        <v>-127553.63630542951</v>
      </c>
      <c r="N90" s="401">
        <f>+N89-N88</f>
        <v>-127553.63630542951</v>
      </c>
      <c r="O90" s="402">
        <f>+O89-O88</f>
        <v>0</v>
      </c>
      <c r="P90" s="1"/>
    </row>
    <row r="91" spans="1:16" ht="13.5" thickBot="1">
      <c r="C91" s="29"/>
      <c r="D91" s="65" t="str">
        <f>IF(D8="","",D8)</f>
        <v/>
      </c>
      <c r="E91" s="11"/>
      <c r="F91" s="11"/>
      <c r="G91" s="11"/>
      <c r="H91" s="10"/>
      <c r="I91" s="260"/>
      <c r="J91" s="260"/>
      <c r="K91" s="242"/>
      <c r="L91" s="260"/>
      <c r="M91" s="260"/>
      <c r="N91" s="260"/>
      <c r="O91" s="242"/>
      <c r="P91" s="1"/>
    </row>
    <row r="92" spans="1:16" ht="13.5" thickBot="1">
      <c r="C92" s="74" t="s">
        <v>83</v>
      </c>
      <c r="D92" s="88" t="str">
        <f>+D9</f>
        <v>TP 2015191</v>
      </c>
      <c r="E92" s="75" t="s">
        <v>310</v>
      </c>
      <c r="F92" s="527">
        <f>F9</f>
        <v>31009</v>
      </c>
      <c r="G92" s="75"/>
      <c r="H92" s="75"/>
      <c r="I92" s="75"/>
      <c r="J92" s="75"/>
    </row>
    <row r="93" spans="1:16">
      <c r="C93" s="34" t="s">
        <v>49</v>
      </c>
      <c r="D93" s="38">
        <v>8934664.3900000006</v>
      </c>
      <c r="E93" s="1" t="s">
        <v>84</v>
      </c>
      <c r="H93" s="2"/>
      <c r="I93" s="2"/>
      <c r="J93" s="36">
        <f>+'OKT.WS.G.BPU.ATRR.True-up'!M16</f>
        <v>2025</v>
      </c>
      <c r="K93" s="33"/>
      <c r="L93" s="242" t="s">
        <v>85</v>
      </c>
      <c r="P93" s="1"/>
    </row>
    <row r="94" spans="1:16">
      <c r="C94" s="34" t="s">
        <v>52</v>
      </c>
      <c r="D94" s="85">
        <f>IF(D11="","",D11)</f>
        <v>2018</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85">
        <f>IF(D12="","",D12)</f>
        <v>5</v>
      </c>
      <c r="E95" s="34" t="s">
        <v>55</v>
      </c>
      <c r="F95" s="2"/>
      <c r="G95" s="2"/>
      <c r="J95" s="40">
        <f>'OKT.WS.G.BPU.ATRR.True-up'!$F$81</f>
        <v>0.11246496061127743</v>
      </c>
      <c r="K95" s="7"/>
      <c r="L95" t="s">
        <v>86</v>
      </c>
      <c r="P95" s="1"/>
    </row>
    <row r="96" spans="1:16">
      <c r="C96" s="34" t="s">
        <v>57</v>
      </c>
      <c r="D96" s="38">
        <f>'OKT.WS.G.BPU.ATRR.True-up'!F$93</f>
        <v>32</v>
      </c>
      <c r="E96" s="34" t="s">
        <v>58</v>
      </c>
      <c r="F96" s="2"/>
      <c r="G96" s="2"/>
      <c r="J96" s="40">
        <f>IF(H88="",J95,'OKT.WS.G.BPU.ATRR.True-up'!$F$80)</f>
        <v>0.11246496061127743</v>
      </c>
      <c r="K96" s="7"/>
      <c r="L96" s="242" t="s">
        <v>59</v>
      </c>
      <c r="M96" s="7"/>
      <c r="N96" s="7"/>
      <c r="O96" s="7"/>
      <c r="P96" s="1"/>
    </row>
    <row r="97" spans="1:16" ht="13.5" thickBot="1">
      <c r="C97" s="34" t="s">
        <v>60</v>
      </c>
      <c r="D97" s="86" t="str">
        <f>+D14</f>
        <v>No</v>
      </c>
      <c r="E97" s="71" t="s">
        <v>62</v>
      </c>
      <c r="F97" s="76"/>
      <c r="G97" s="76"/>
      <c r="H97" s="77"/>
      <c r="I97" s="77"/>
      <c r="J97" s="357">
        <f>IF(D93=0,0,D93/D96)</f>
        <v>279208.26218750002</v>
      </c>
      <c r="K97" s="242"/>
      <c r="L97" s="242"/>
      <c r="M97" s="242"/>
      <c r="N97" s="242"/>
      <c r="O97" s="242"/>
      <c r="P97" s="1"/>
    </row>
    <row r="98" spans="1:16"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row>
    <row r="99" spans="1:16" ht="13.5" thickBot="1">
      <c r="C99" s="46" t="s">
        <v>68</v>
      </c>
      <c r="D99" s="80" t="s">
        <v>69</v>
      </c>
      <c r="E99" s="46" t="s">
        <v>70</v>
      </c>
      <c r="F99" s="46" t="s">
        <v>69</v>
      </c>
      <c r="G99" s="46" t="s">
        <v>69</v>
      </c>
      <c r="H99" s="369" t="s">
        <v>71</v>
      </c>
      <c r="I99" s="367" t="s">
        <v>72</v>
      </c>
      <c r="J99" s="46" t="s">
        <v>93</v>
      </c>
      <c r="K99" s="44"/>
      <c r="L99" s="368" t="s">
        <v>74</v>
      </c>
      <c r="M99" s="368" t="s">
        <v>74</v>
      </c>
      <c r="N99" s="368" t="s">
        <v>94</v>
      </c>
      <c r="O99" s="368" t="s">
        <v>94</v>
      </c>
      <c r="P99" s="368" t="s">
        <v>94</v>
      </c>
    </row>
    <row r="100" spans="1:16">
      <c r="B100" t="str">
        <f t="shared" ref="B100:B155" si="28">IF(D100=F99,"","IU")</f>
        <v>IU</v>
      </c>
      <c r="C100" s="49">
        <f>IF(D94= "","-",D94)</f>
        <v>2018</v>
      </c>
      <c r="D100" s="371">
        <v>0</v>
      </c>
      <c r="E100" s="373">
        <v>157935.97979797979</v>
      </c>
      <c r="F100" s="375">
        <v>8776728.0202020202</v>
      </c>
      <c r="G100" s="375">
        <v>4388364.0101010101</v>
      </c>
      <c r="H100" s="373">
        <v>631919.77960959531</v>
      </c>
      <c r="I100" s="374">
        <v>631919.77960959531</v>
      </c>
      <c r="J100" s="53">
        <f t="shared" ref="J100:J131" si="29">+I100-H100</f>
        <v>0</v>
      </c>
      <c r="K100" s="53"/>
      <c r="L100" s="376">
        <f>+H100</f>
        <v>631919.77960959531</v>
      </c>
      <c r="M100" s="53">
        <f t="shared" ref="M100" si="30">IF(L100&lt;&gt;0,+H100-L100,0)</f>
        <v>0</v>
      </c>
      <c r="N100" s="376">
        <f>+I100</f>
        <v>631919.77960959531</v>
      </c>
      <c r="O100" s="413">
        <f t="shared" ref="O100:O101" si="31">IF(N100&lt;&gt;0,+I100-N100,0)</f>
        <v>0</v>
      </c>
      <c r="P100" s="53">
        <f t="shared" ref="P100" si="32">+O100-M100</f>
        <v>0</v>
      </c>
    </row>
    <row r="101" spans="1:16">
      <c r="B101" t="str">
        <f t="shared" si="28"/>
        <v>IU</v>
      </c>
      <c r="C101" s="49">
        <f>IF(D94="","-",+C100+1)</f>
        <v>2019</v>
      </c>
      <c r="D101" s="371">
        <v>8934664</v>
      </c>
      <c r="E101" s="373">
        <v>248185.11111111112</v>
      </c>
      <c r="F101" s="375">
        <v>8686478.8888888881</v>
      </c>
      <c r="G101" s="375">
        <v>8810571.444444444</v>
      </c>
      <c r="H101" s="373">
        <v>1178250.6107491101</v>
      </c>
      <c r="I101" s="374">
        <v>1178250.6107491101</v>
      </c>
      <c r="J101" s="53">
        <f t="shared" si="29"/>
        <v>0</v>
      </c>
      <c r="K101" s="53"/>
      <c r="L101" s="376">
        <f t="shared" ref="L101:L106" si="33">H101</f>
        <v>1178250.6107491101</v>
      </c>
      <c r="M101" s="53">
        <f t="shared" ref="M101:M106" si="34">IF(L101&lt;&gt;0,+H101-L101,0)</f>
        <v>0</v>
      </c>
      <c r="N101" s="376">
        <f t="shared" ref="N101:N106" si="35">I101</f>
        <v>1178250.6107491101</v>
      </c>
      <c r="O101" s="53">
        <f t="shared" si="31"/>
        <v>0</v>
      </c>
      <c r="P101" s="53">
        <f>+O101-M101</f>
        <v>0</v>
      </c>
    </row>
    <row r="102" spans="1:16">
      <c r="B102" t="str">
        <f t="shared" si="28"/>
        <v>IU</v>
      </c>
      <c r="C102" s="49">
        <f>IF(D94="","-",+C101+1)</f>
        <v>2020</v>
      </c>
      <c r="D102" s="371">
        <v>8528542.9090909082</v>
      </c>
      <c r="E102" s="373">
        <v>319095.14285714284</v>
      </c>
      <c r="F102" s="375">
        <v>8209447.7662337655</v>
      </c>
      <c r="G102" s="375">
        <v>8368995.3376623373</v>
      </c>
      <c r="H102" s="373">
        <v>1209669.2196039241</v>
      </c>
      <c r="I102" s="374">
        <v>1209669.2196039241</v>
      </c>
      <c r="J102" s="53">
        <f t="shared" si="29"/>
        <v>0</v>
      </c>
      <c r="K102" s="53"/>
      <c r="L102" s="376">
        <f t="shared" si="33"/>
        <v>1209669.2196039241</v>
      </c>
      <c r="M102" s="53">
        <f t="shared" si="34"/>
        <v>0</v>
      </c>
      <c r="N102" s="376">
        <f t="shared" si="35"/>
        <v>1209669.2196039241</v>
      </c>
      <c r="O102" s="53">
        <f t="shared" ref="O102" si="36">IF(N102&lt;&gt;0,+I102-N102,0)</f>
        <v>0</v>
      </c>
      <c r="P102" s="53">
        <f>+O102-M102</f>
        <v>0</v>
      </c>
    </row>
    <row r="103" spans="1:16">
      <c r="B103" t="str">
        <f t="shared" si="28"/>
        <v/>
      </c>
      <c r="C103" s="49">
        <f>IF(D94="","-",+C102+1)</f>
        <v>2021</v>
      </c>
      <c r="D103" s="371">
        <v>8209447.7662337655</v>
      </c>
      <c r="E103" s="373">
        <v>357386.56</v>
      </c>
      <c r="F103" s="375">
        <v>7852061.2062337659</v>
      </c>
      <c r="G103" s="375">
        <v>8030754.4862337653</v>
      </c>
      <c r="H103" s="373">
        <v>1304710.5262002475</v>
      </c>
      <c r="I103" s="374">
        <v>1304710.5262002475</v>
      </c>
      <c r="J103" s="53">
        <f t="shared" si="29"/>
        <v>0</v>
      </c>
      <c r="K103" s="53"/>
      <c r="L103" s="376">
        <f t="shared" si="33"/>
        <v>1304710.5262002475</v>
      </c>
      <c r="M103" s="53">
        <f t="shared" si="34"/>
        <v>0</v>
      </c>
      <c r="N103" s="376">
        <f t="shared" si="35"/>
        <v>1304710.5262002475</v>
      </c>
      <c r="O103" s="53">
        <f t="shared" ref="O103:O131" si="37">IF(N103&lt;&gt;0,+I103-N103,0)</f>
        <v>0</v>
      </c>
      <c r="P103" s="53">
        <f t="shared" ref="P103:P131" si="38">+O103-M103</f>
        <v>0</v>
      </c>
    </row>
    <row r="104" spans="1:16">
      <c r="B104" t="str">
        <f t="shared" si="28"/>
        <v/>
      </c>
      <c r="C104" s="49">
        <f>IF(D94="","-",+C103+1)</f>
        <v>2022</v>
      </c>
      <c r="D104" s="371">
        <v>7852061.2062337659</v>
      </c>
      <c r="E104" s="373">
        <v>425460.19047619047</v>
      </c>
      <c r="F104" s="375">
        <v>7426601.0157575756</v>
      </c>
      <c r="G104" s="375">
        <v>7639331.1109956708</v>
      </c>
      <c r="H104" s="373">
        <v>1303723.6531878912</v>
      </c>
      <c r="I104" s="374">
        <v>1303723.6531878912</v>
      </c>
      <c r="J104" s="53">
        <f t="shared" si="29"/>
        <v>0</v>
      </c>
      <c r="K104" s="53"/>
      <c r="L104" s="376">
        <f t="shared" si="33"/>
        <v>1303723.6531878912</v>
      </c>
      <c r="M104" s="53">
        <f t="shared" si="34"/>
        <v>0</v>
      </c>
      <c r="N104" s="376">
        <f t="shared" si="35"/>
        <v>1303723.6531878912</v>
      </c>
      <c r="O104" s="53">
        <f t="shared" ref="O104" si="39">IF(N104&lt;&gt;0,+I104-N104,0)</f>
        <v>0</v>
      </c>
      <c r="P104" s="53">
        <f t="shared" ref="P104" si="40">+O104-M104</f>
        <v>0</v>
      </c>
    </row>
    <row r="105" spans="1:16">
      <c r="B105" t="str">
        <f t="shared" si="28"/>
        <v>IU</v>
      </c>
      <c r="C105" s="49">
        <f>IF(D94="","-",+C104+1)</f>
        <v>2023</v>
      </c>
      <c r="D105" s="371">
        <v>7426601.4057575762</v>
      </c>
      <c r="E105" s="373">
        <v>470245.49421052635</v>
      </c>
      <c r="F105" s="375">
        <v>6956355.9115470499</v>
      </c>
      <c r="G105" s="375">
        <v>7191478.6586523131</v>
      </c>
      <c r="H105" s="373">
        <v>1258677.2174985358</v>
      </c>
      <c r="I105" s="374">
        <v>1258677.2174985358</v>
      </c>
      <c r="J105" s="53">
        <f t="shared" si="29"/>
        <v>0</v>
      </c>
      <c r="K105" s="53"/>
      <c r="L105" s="376">
        <f t="shared" si="33"/>
        <v>1258677.2174985358</v>
      </c>
      <c r="M105" s="53">
        <f t="shared" si="34"/>
        <v>0</v>
      </c>
      <c r="N105" s="376">
        <f t="shared" si="35"/>
        <v>1258677.2174985358</v>
      </c>
      <c r="O105" s="53">
        <f t="shared" ref="O105" si="41">IF(N105&lt;&gt;0,+I105-N105,0)</f>
        <v>0</v>
      </c>
      <c r="P105" s="53">
        <f t="shared" ref="P105" si="42">+O105-M105</f>
        <v>0</v>
      </c>
    </row>
    <row r="106" spans="1:16">
      <c r="B106" t="str">
        <f t="shared" si="28"/>
        <v/>
      </c>
      <c r="C106" s="49">
        <f>IF(D94="","-",+C105+1)</f>
        <v>2024</v>
      </c>
      <c r="D106" s="371">
        <v>6956355.9115470499</v>
      </c>
      <c r="E106" s="373">
        <v>525568.49352941185</v>
      </c>
      <c r="F106" s="375">
        <v>6430787.4180176379</v>
      </c>
      <c r="G106" s="375">
        <v>6693571.6647823434</v>
      </c>
      <c r="H106" s="373">
        <v>1266715.5893796897</v>
      </c>
      <c r="I106" s="374">
        <v>1266715.5893796897</v>
      </c>
      <c r="J106" s="53">
        <f t="shared" si="29"/>
        <v>0</v>
      </c>
      <c r="K106" s="53"/>
      <c r="L106" s="376">
        <f t="shared" si="33"/>
        <v>1266715.5893796897</v>
      </c>
      <c r="M106" s="53">
        <f t="shared" si="34"/>
        <v>0</v>
      </c>
      <c r="N106" s="376">
        <f t="shared" si="35"/>
        <v>1266715.5893796897</v>
      </c>
      <c r="O106" s="53">
        <f t="shared" ref="O106" si="43">IF(N106&lt;&gt;0,+I106-N106,0)</f>
        <v>0</v>
      </c>
      <c r="P106" s="53">
        <f t="shared" ref="P106" si="44">+O106-M106</f>
        <v>0</v>
      </c>
    </row>
    <row r="107" spans="1:16">
      <c r="B107" t="str">
        <f t="shared" si="28"/>
        <v/>
      </c>
      <c r="C107" s="49">
        <f>IF(D94="","-",+C106+1)</f>
        <v>2025</v>
      </c>
      <c r="D107" s="11">
        <f>IF(F106+SUM(E$100:E106)=D$93,F106,D$93-SUM(E$100:E106))</f>
        <v>6430787.4180176379</v>
      </c>
      <c r="E107" s="377">
        <f t="shared" ref="E107:E155" si="45">IF(+J$97&lt;F106,J$97,D107)</f>
        <v>279208.26218750002</v>
      </c>
      <c r="F107" s="54">
        <f t="shared" ref="F107:F155" si="46">+D107-E107</f>
        <v>6151579.1558301374</v>
      </c>
      <c r="G107" s="54">
        <f t="shared" ref="G107:G155" si="47">+(F107+D107)/2</f>
        <v>6291183.2869238872</v>
      </c>
      <c r="H107" s="459">
        <f t="shared" ref="H107:H155" si="48">(D107+F107)/2*J$95+E107</f>
        <v>986745.94274972193</v>
      </c>
      <c r="I107" s="446">
        <f t="shared" ref="I107:I155" si="49">+J$96*G107+E107</f>
        <v>986745.94274972193</v>
      </c>
      <c r="J107" s="53">
        <f t="shared" si="29"/>
        <v>0</v>
      </c>
      <c r="K107" s="53"/>
      <c r="L107" s="112"/>
      <c r="M107" s="53">
        <f t="shared" ref="M107:M131" si="50">IF(L107&lt;&gt;0,+H107-L107,0)</f>
        <v>0</v>
      </c>
      <c r="N107" s="112"/>
      <c r="O107" s="53">
        <f t="shared" si="37"/>
        <v>0</v>
      </c>
      <c r="P107" s="53">
        <f t="shared" si="38"/>
        <v>0</v>
      </c>
    </row>
    <row r="108" spans="1:16">
      <c r="B108" t="str">
        <f t="shared" si="28"/>
        <v/>
      </c>
      <c r="C108" s="49">
        <f>IF(D94="","-",+C107+1)</f>
        <v>2026</v>
      </c>
      <c r="D108" s="11">
        <f>IF(F107+SUM(E$100:E107)=D$93,F107,D$93-SUM(E$100:E107))</f>
        <v>6151579.1558301374</v>
      </c>
      <c r="E108" s="377">
        <f t="shared" si="45"/>
        <v>279208.26218750002</v>
      </c>
      <c r="F108" s="54">
        <f t="shared" si="46"/>
        <v>5872370.8936426379</v>
      </c>
      <c r="G108" s="54">
        <f t="shared" si="47"/>
        <v>6011975.0247363877</v>
      </c>
      <c r="H108" s="459">
        <f t="shared" si="48"/>
        <v>955344.79654046148</v>
      </c>
      <c r="I108" s="446">
        <f t="shared" si="49"/>
        <v>955344.79654046148</v>
      </c>
      <c r="J108" s="53">
        <f t="shared" si="29"/>
        <v>0</v>
      </c>
      <c r="K108" s="53"/>
      <c r="L108" s="112"/>
      <c r="M108" s="53">
        <f t="shared" si="50"/>
        <v>0</v>
      </c>
      <c r="N108" s="112"/>
      <c r="O108" s="53">
        <f t="shared" si="37"/>
        <v>0</v>
      </c>
      <c r="P108" s="53">
        <f t="shared" si="38"/>
        <v>0</v>
      </c>
    </row>
    <row r="109" spans="1:16">
      <c r="B109" t="str">
        <f t="shared" si="28"/>
        <v/>
      </c>
      <c r="C109" s="49">
        <f>IF(D94="","-",+C108+1)</f>
        <v>2027</v>
      </c>
      <c r="D109" s="11">
        <f>IF(F108+SUM(E$100:E108)=D$93,F108,D$93-SUM(E$100:E108))</f>
        <v>5872370.8936426379</v>
      </c>
      <c r="E109" s="377">
        <f t="shared" si="45"/>
        <v>279208.26218750002</v>
      </c>
      <c r="F109" s="54">
        <f t="shared" si="46"/>
        <v>5593162.6314551383</v>
      </c>
      <c r="G109" s="54">
        <f t="shared" si="47"/>
        <v>5732766.7625488881</v>
      </c>
      <c r="H109" s="459">
        <f t="shared" si="48"/>
        <v>923943.65033120115</v>
      </c>
      <c r="I109" s="446">
        <f t="shared" si="49"/>
        <v>923943.65033120115</v>
      </c>
      <c r="J109" s="53">
        <f t="shared" si="29"/>
        <v>0</v>
      </c>
      <c r="K109" s="53"/>
      <c r="L109" s="112"/>
      <c r="M109" s="53">
        <f t="shared" si="50"/>
        <v>0</v>
      </c>
      <c r="N109" s="112"/>
      <c r="O109" s="53">
        <f t="shared" si="37"/>
        <v>0</v>
      </c>
      <c r="P109" s="53">
        <f t="shared" si="38"/>
        <v>0</v>
      </c>
    </row>
    <row r="110" spans="1:16">
      <c r="B110" t="str">
        <f t="shared" si="28"/>
        <v/>
      </c>
      <c r="C110" s="49">
        <f>IF(D94="","-",+C109+1)</f>
        <v>2028</v>
      </c>
      <c r="D110" s="11">
        <f>IF(F109+SUM(E$100:E109)=D$93,F109,D$93-SUM(E$100:E109))</f>
        <v>5593162.6314551383</v>
      </c>
      <c r="E110" s="377">
        <f t="shared" si="45"/>
        <v>279208.26218750002</v>
      </c>
      <c r="F110" s="54">
        <f t="shared" si="46"/>
        <v>5313954.3692676388</v>
      </c>
      <c r="G110" s="54">
        <f t="shared" si="47"/>
        <v>5453558.5003613885</v>
      </c>
      <c r="H110" s="459">
        <f t="shared" si="48"/>
        <v>892542.50412194082</v>
      </c>
      <c r="I110" s="446">
        <f t="shared" si="49"/>
        <v>892542.50412194082</v>
      </c>
      <c r="J110" s="53">
        <f t="shared" si="29"/>
        <v>0</v>
      </c>
      <c r="K110" s="53"/>
      <c r="L110" s="112"/>
      <c r="M110" s="53">
        <f t="shared" si="50"/>
        <v>0</v>
      </c>
      <c r="N110" s="112"/>
      <c r="O110" s="53">
        <f t="shared" si="37"/>
        <v>0</v>
      </c>
      <c r="P110" s="53">
        <f t="shared" si="38"/>
        <v>0</v>
      </c>
    </row>
    <row r="111" spans="1:16">
      <c r="B111" t="str">
        <f t="shared" si="28"/>
        <v/>
      </c>
      <c r="C111" s="49">
        <f>IF(D94="","-",+C110+1)</f>
        <v>2029</v>
      </c>
      <c r="D111" s="11">
        <f>IF(F110+SUM(E$100:E110)=D$93,F110,D$93-SUM(E$100:E110))</f>
        <v>5313954.3692676388</v>
      </c>
      <c r="E111" s="377">
        <f t="shared" si="45"/>
        <v>279208.26218750002</v>
      </c>
      <c r="F111" s="54">
        <f t="shared" si="46"/>
        <v>5034746.1070801392</v>
      </c>
      <c r="G111" s="54">
        <f t="shared" si="47"/>
        <v>5174350.238173889</v>
      </c>
      <c r="H111" s="459">
        <f t="shared" si="48"/>
        <v>861141.35791268048</v>
      </c>
      <c r="I111" s="446">
        <f t="shared" si="49"/>
        <v>861141.35791268048</v>
      </c>
      <c r="J111" s="53">
        <f t="shared" si="29"/>
        <v>0</v>
      </c>
      <c r="K111" s="53"/>
      <c r="L111" s="112"/>
      <c r="M111" s="53">
        <f t="shared" si="50"/>
        <v>0</v>
      </c>
      <c r="N111" s="112"/>
      <c r="O111" s="53">
        <f t="shared" si="37"/>
        <v>0</v>
      </c>
      <c r="P111" s="53">
        <f t="shared" si="38"/>
        <v>0</v>
      </c>
    </row>
    <row r="112" spans="1:16">
      <c r="B112" t="str">
        <f t="shared" si="28"/>
        <v/>
      </c>
      <c r="C112" s="49">
        <f>IF(D94="","-",+C111+1)</f>
        <v>2030</v>
      </c>
      <c r="D112" s="11">
        <f>IF(F111+SUM(E$100:E111)=D$93,F111,D$93-SUM(E$100:E111))</f>
        <v>5034746.1070801392</v>
      </c>
      <c r="E112" s="377">
        <f t="shared" si="45"/>
        <v>279208.26218750002</v>
      </c>
      <c r="F112" s="54">
        <f t="shared" si="46"/>
        <v>4755537.8448926397</v>
      </c>
      <c r="G112" s="54">
        <f t="shared" si="47"/>
        <v>4895141.9759863894</v>
      </c>
      <c r="H112" s="459">
        <f t="shared" si="48"/>
        <v>829740.21170342015</v>
      </c>
      <c r="I112" s="446">
        <f t="shared" si="49"/>
        <v>829740.21170342015</v>
      </c>
      <c r="J112" s="53">
        <f t="shared" si="29"/>
        <v>0</v>
      </c>
      <c r="K112" s="53"/>
      <c r="L112" s="112"/>
      <c r="M112" s="53">
        <f t="shared" si="50"/>
        <v>0</v>
      </c>
      <c r="N112" s="112"/>
      <c r="O112" s="53">
        <f t="shared" si="37"/>
        <v>0</v>
      </c>
      <c r="P112" s="53">
        <f t="shared" si="38"/>
        <v>0</v>
      </c>
    </row>
    <row r="113" spans="2:16">
      <c r="B113" t="str">
        <f t="shared" si="28"/>
        <v/>
      </c>
      <c r="C113" s="49">
        <f>IF(D94="","-",+C112+1)</f>
        <v>2031</v>
      </c>
      <c r="D113" s="11">
        <f>IF(F112+SUM(E$100:E112)=D$93,F112,D$93-SUM(E$100:E112))</f>
        <v>4755537.8448926397</v>
      </c>
      <c r="E113" s="377">
        <f t="shared" si="45"/>
        <v>279208.26218750002</v>
      </c>
      <c r="F113" s="54">
        <f t="shared" si="46"/>
        <v>4476329.5827051401</v>
      </c>
      <c r="G113" s="54">
        <f t="shared" si="47"/>
        <v>4615933.7137988899</v>
      </c>
      <c r="H113" s="459">
        <f t="shared" si="48"/>
        <v>798339.0654941597</v>
      </c>
      <c r="I113" s="446">
        <f t="shared" si="49"/>
        <v>798339.0654941597</v>
      </c>
      <c r="J113" s="53">
        <f t="shared" si="29"/>
        <v>0</v>
      </c>
      <c r="K113" s="53"/>
      <c r="L113" s="112"/>
      <c r="M113" s="53">
        <f t="shared" si="50"/>
        <v>0</v>
      </c>
      <c r="N113" s="112"/>
      <c r="O113" s="53">
        <f t="shared" si="37"/>
        <v>0</v>
      </c>
      <c r="P113" s="53">
        <f t="shared" si="38"/>
        <v>0</v>
      </c>
    </row>
    <row r="114" spans="2:16">
      <c r="B114" t="str">
        <f t="shared" si="28"/>
        <v/>
      </c>
      <c r="C114" s="49">
        <f>IF(D94="","-",+C113+1)</f>
        <v>2032</v>
      </c>
      <c r="D114" s="11">
        <f>IF(F113+SUM(E$100:E113)=D$93,F113,D$93-SUM(E$100:E113))</f>
        <v>4476329.5827051401</v>
      </c>
      <c r="E114" s="377">
        <f t="shared" si="45"/>
        <v>279208.26218750002</v>
      </c>
      <c r="F114" s="54">
        <f t="shared" si="46"/>
        <v>4197121.3205176406</v>
      </c>
      <c r="G114" s="54">
        <f t="shared" si="47"/>
        <v>4336725.4516113903</v>
      </c>
      <c r="H114" s="459">
        <f t="shared" si="48"/>
        <v>766937.91928489937</v>
      </c>
      <c r="I114" s="446">
        <f t="shared" si="49"/>
        <v>766937.91928489937</v>
      </c>
      <c r="J114" s="53">
        <f t="shared" si="29"/>
        <v>0</v>
      </c>
      <c r="K114" s="53"/>
      <c r="L114" s="112"/>
      <c r="M114" s="53">
        <f t="shared" si="50"/>
        <v>0</v>
      </c>
      <c r="N114" s="112"/>
      <c r="O114" s="53">
        <f t="shared" si="37"/>
        <v>0</v>
      </c>
      <c r="P114" s="53">
        <f t="shared" si="38"/>
        <v>0</v>
      </c>
    </row>
    <row r="115" spans="2:16">
      <c r="B115" t="str">
        <f t="shared" si="28"/>
        <v/>
      </c>
      <c r="C115" s="49">
        <f>IF(D94="","-",+C114+1)</f>
        <v>2033</v>
      </c>
      <c r="D115" s="11">
        <f>IF(F114+SUM(E$100:E114)=D$93,F114,D$93-SUM(E$100:E114))</f>
        <v>4197121.3205176406</v>
      </c>
      <c r="E115" s="377">
        <f t="shared" si="45"/>
        <v>279208.26218750002</v>
      </c>
      <c r="F115" s="54">
        <f t="shared" si="46"/>
        <v>3917913.0583301405</v>
      </c>
      <c r="G115" s="54">
        <f t="shared" si="47"/>
        <v>4057517.1894238908</v>
      </c>
      <c r="H115" s="459">
        <f t="shared" si="48"/>
        <v>735536.77307563904</v>
      </c>
      <c r="I115" s="446">
        <f t="shared" si="49"/>
        <v>735536.77307563904</v>
      </c>
      <c r="J115" s="53">
        <f t="shared" si="29"/>
        <v>0</v>
      </c>
      <c r="K115" s="53"/>
      <c r="L115" s="112"/>
      <c r="M115" s="53">
        <f t="shared" si="50"/>
        <v>0</v>
      </c>
      <c r="N115" s="112"/>
      <c r="O115" s="53">
        <f t="shared" si="37"/>
        <v>0</v>
      </c>
      <c r="P115" s="53">
        <f t="shared" si="38"/>
        <v>0</v>
      </c>
    </row>
    <row r="116" spans="2:16">
      <c r="B116" t="str">
        <f t="shared" si="28"/>
        <v/>
      </c>
      <c r="C116" s="49">
        <f>IF(D94="","-",+C115+1)</f>
        <v>2034</v>
      </c>
      <c r="D116" s="11">
        <f>IF(F115+SUM(E$100:E115)=D$93,F115,D$93-SUM(E$100:E115))</f>
        <v>3917913.0583301405</v>
      </c>
      <c r="E116" s="377">
        <f t="shared" si="45"/>
        <v>279208.26218750002</v>
      </c>
      <c r="F116" s="54">
        <f t="shared" si="46"/>
        <v>3638704.7961426405</v>
      </c>
      <c r="G116" s="54">
        <f t="shared" si="47"/>
        <v>3778308.9272363903</v>
      </c>
      <c r="H116" s="459">
        <f t="shared" si="48"/>
        <v>704135.62686637859</v>
      </c>
      <c r="I116" s="446">
        <f t="shared" si="49"/>
        <v>704135.62686637859</v>
      </c>
      <c r="J116" s="53">
        <f t="shared" si="29"/>
        <v>0</v>
      </c>
      <c r="K116" s="53"/>
      <c r="L116" s="112"/>
      <c r="M116" s="53">
        <f t="shared" si="50"/>
        <v>0</v>
      </c>
      <c r="N116" s="112"/>
      <c r="O116" s="53">
        <f t="shared" si="37"/>
        <v>0</v>
      </c>
      <c r="P116" s="53">
        <f t="shared" si="38"/>
        <v>0</v>
      </c>
    </row>
    <row r="117" spans="2:16">
      <c r="B117" t="str">
        <f t="shared" si="28"/>
        <v/>
      </c>
      <c r="C117" s="49">
        <f>IF(D94="","-",+C116+1)</f>
        <v>2035</v>
      </c>
      <c r="D117" s="11">
        <f>IF(F116+SUM(E$100:E116)=D$93,F116,D$93-SUM(E$100:E116))</f>
        <v>3638704.7961426405</v>
      </c>
      <c r="E117" s="377">
        <f t="shared" si="45"/>
        <v>279208.26218750002</v>
      </c>
      <c r="F117" s="54">
        <f t="shared" si="46"/>
        <v>3359496.5339551405</v>
      </c>
      <c r="G117" s="54">
        <f t="shared" si="47"/>
        <v>3499100.6650488907</v>
      </c>
      <c r="H117" s="459">
        <f t="shared" si="48"/>
        <v>672734.48065711814</v>
      </c>
      <c r="I117" s="446">
        <f t="shared" si="49"/>
        <v>672734.48065711814</v>
      </c>
      <c r="J117" s="53">
        <f t="shared" si="29"/>
        <v>0</v>
      </c>
      <c r="K117" s="53"/>
      <c r="L117" s="112"/>
      <c r="M117" s="53">
        <f t="shared" si="50"/>
        <v>0</v>
      </c>
      <c r="N117" s="112"/>
      <c r="O117" s="53">
        <f t="shared" si="37"/>
        <v>0</v>
      </c>
      <c r="P117" s="53">
        <f t="shared" si="38"/>
        <v>0</v>
      </c>
    </row>
    <row r="118" spans="2:16">
      <c r="B118" t="str">
        <f t="shared" si="28"/>
        <v/>
      </c>
      <c r="C118" s="49">
        <f>IF(D94="","-",+C117+1)</f>
        <v>2036</v>
      </c>
      <c r="D118" s="11">
        <f>IF(F117+SUM(E$100:E117)=D$93,F117,D$93-SUM(E$100:E117))</f>
        <v>3359496.5339551405</v>
      </c>
      <c r="E118" s="377">
        <f t="shared" si="45"/>
        <v>279208.26218750002</v>
      </c>
      <c r="F118" s="54">
        <f t="shared" si="46"/>
        <v>3080288.2717676405</v>
      </c>
      <c r="G118" s="54">
        <f t="shared" si="47"/>
        <v>3219892.4028613903</v>
      </c>
      <c r="H118" s="459">
        <f t="shared" si="48"/>
        <v>641333.33444785769</v>
      </c>
      <c r="I118" s="446">
        <f t="shared" si="49"/>
        <v>641333.33444785769</v>
      </c>
      <c r="J118" s="53">
        <f t="shared" si="29"/>
        <v>0</v>
      </c>
      <c r="K118" s="53"/>
      <c r="L118" s="112"/>
      <c r="M118" s="53">
        <f t="shared" si="50"/>
        <v>0</v>
      </c>
      <c r="N118" s="112"/>
      <c r="O118" s="53">
        <f t="shared" si="37"/>
        <v>0</v>
      </c>
      <c r="P118" s="53">
        <f t="shared" si="38"/>
        <v>0</v>
      </c>
    </row>
    <row r="119" spans="2:16">
      <c r="B119" t="str">
        <f t="shared" si="28"/>
        <v/>
      </c>
      <c r="C119" s="49">
        <f>IF(D94="","-",+C118+1)</f>
        <v>2037</v>
      </c>
      <c r="D119" s="11">
        <f>IF(F118+SUM(E$100:E118)=D$93,F118,D$93-SUM(E$100:E118))</f>
        <v>3080288.2717676405</v>
      </c>
      <c r="E119" s="377">
        <f t="shared" si="45"/>
        <v>279208.26218750002</v>
      </c>
      <c r="F119" s="54">
        <f t="shared" si="46"/>
        <v>2801080.0095801405</v>
      </c>
      <c r="G119" s="54">
        <f t="shared" si="47"/>
        <v>2940684.1406738907</v>
      </c>
      <c r="H119" s="459">
        <f t="shared" si="48"/>
        <v>609932.18823859736</v>
      </c>
      <c r="I119" s="446">
        <f t="shared" si="49"/>
        <v>609932.18823859736</v>
      </c>
      <c r="J119" s="53">
        <f t="shared" si="29"/>
        <v>0</v>
      </c>
      <c r="K119" s="53"/>
      <c r="L119" s="112"/>
      <c r="M119" s="53">
        <f t="shared" si="50"/>
        <v>0</v>
      </c>
      <c r="N119" s="112"/>
      <c r="O119" s="53">
        <f t="shared" si="37"/>
        <v>0</v>
      </c>
      <c r="P119" s="53">
        <f t="shared" si="38"/>
        <v>0</v>
      </c>
    </row>
    <row r="120" spans="2:16">
      <c r="B120" t="str">
        <f t="shared" si="28"/>
        <v/>
      </c>
      <c r="C120" s="49">
        <f>IF(D94="","-",+C119+1)</f>
        <v>2038</v>
      </c>
      <c r="D120" s="11">
        <f>IF(F119+SUM(E$100:E119)=D$93,F119,D$93-SUM(E$100:E119))</f>
        <v>2801080.0095801405</v>
      </c>
      <c r="E120" s="377">
        <f t="shared" si="45"/>
        <v>279208.26218750002</v>
      </c>
      <c r="F120" s="54">
        <f t="shared" si="46"/>
        <v>2521871.7473926404</v>
      </c>
      <c r="G120" s="54">
        <f t="shared" si="47"/>
        <v>2661475.8784863902</v>
      </c>
      <c r="H120" s="459">
        <f t="shared" si="48"/>
        <v>578531.04202933691</v>
      </c>
      <c r="I120" s="446">
        <f t="shared" si="49"/>
        <v>578531.04202933691</v>
      </c>
      <c r="J120" s="53">
        <f t="shared" si="29"/>
        <v>0</v>
      </c>
      <c r="K120" s="53"/>
      <c r="L120" s="112"/>
      <c r="M120" s="53">
        <f t="shared" si="50"/>
        <v>0</v>
      </c>
      <c r="N120" s="112"/>
      <c r="O120" s="53">
        <f t="shared" si="37"/>
        <v>0</v>
      </c>
      <c r="P120" s="53">
        <f t="shared" si="38"/>
        <v>0</v>
      </c>
    </row>
    <row r="121" spans="2:16">
      <c r="B121" t="str">
        <f t="shared" si="28"/>
        <v/>
      </c>
      <c r="C121" s="49">
        <f>IF(D94="","-",+C120+1)</f>
        <v>2039</v>
      </c>
      <c r="D121" s="11">
        <f>IF(F120+SUM(E$100:E120)=D$93,F120,D$93-SUM(E$100:E120))</f>
        <v>2521871.7473926404</v>
      </c>
      <c r="E121" s="377">
        <f t="shared" si="45"/>
        <v>279208.26218750002</v>
      </c>
      <c r="F121" s="54">
        <f t="shared" si="46"/>
        <v>2242663.4852051404</v>
      </c>
      <c r="G121" s="54">
        <f t="shared" si="47"/>
        <v>2382267.6162988907</v>
      </c>
      <c r="H121" s="459">
        <f t="shared" si="48"/>
        <v>547129.89582007658</v>
      </c>
      <c r="I121" s="446">
        <f t="shared" si="49"/>
        <v>547129.89582007658</v>
      </c>
      <c r="J121" s="53">
        <f t="shared" si="29"/>
        <v>0</v>
      </c>
      <c r="K121" s="53"/>
      <c r="L121" s="112"/>
      <c r="M121" s="53">
        <f t="shared" si="50"/>
        <v>0</v>
      </c>
      <c r="N121" s="112"/>
      <c r="O121" s="53">
        <f t="shared" si="37"/>
        <v>0</v>
      </c>
      <c r="P121" s="53">
        <f t="shared" si="38"/>
        <v>0</v>
      </c>
    </row>
    <row r="122" spans="2:16">
      <c r="B122" t="str">
        <f t="shared" si="28"/>
        <v/>
      </c>
      <c r="C122" s="49">
        <f>IF(D94="","-",+C121+1)</f>
        <v>2040</v>
      </c>
      <c r="D122" s="11">
        <f>IF(F121+SUM(E$100:E121)=D$93,F121,D$93-SUM(E$100:E121))</f>
        <v>2242663.4852051404</v>
      </c>
      <c r="E122" s="377">
        <f t="shared" si="45"/>
        <v>279208.26218750002</v>
      </c>
      <c r="F122" s="54">
        <f t="shared" si="46"/>
        <v>1963455.2230176404</v>
      </c>
      <c r="G122" s="54">
        <f t="shared" si="47"/>
        <v>2103059.3541113902</v>
      </c>
      <c r="H122" s="459">
        <f t="shared" si="48"/>
        <v>515728.74961081607</v>
      </c>
      <c r="I122" s="446">
        <f t="shared" si="49"/>
        <v>515728.74961081607</v>
      </c>
      <c r="J122" s="53">
        <f t="shared" si="29"/>
        <v>0</v>
      </c>
      <c r="K122" s="53"/>
      <c r="L122" s="112"/>
      <c r="M122" s="53">
        <f t="shared" si="50"/>
        <v>0</v>
      </c>
      <c r="N122" s="112"/>
      <c r="O122" s="53">
        <f t="shared" si="37"/>
        <v>0</v>
      </c>
      <c r="P122" s="53">
        <f t="shared" si="38"/>
        <v>0</v>
      </c>
    </row>
    <row r="123" spans="2:16">
      <c r="B123" t="str">
        <f t="shared" si="28"/>
        <v/>
      </c>
      <c r="C123" s="49">
        <f>IF(D94="","-",+C122+1)</f>
        <v>2041</v>
      </c>
      <c r="D123" s="11">
        <f>IF(F122+SUM(E$100:E122)=D$93,F122,D$93-SUM(E$100:E122))</f>
        <v>1963455.2230176404</v>
      </c>
      <c r="E123" s="377">
        <f t="shared" si="45"/>
        <v>279208.26218750002</v>
      </c>
      <c r="F123" s="54">
        <f t="shared" si="46"/>
        <v>1684246.9608301404</v>
      </c>
      <c r="G123" s="54">
        <f t="shared" si="47"/>
        <v>1823851.0919238904</v>
      </c>
      <c r="H123" s="459">
        <f t="shared" si="48"/>
        <v>484327.60340155568</v>
      </c>
      <c r="I123" s="446">
        <f t="shared" si="49"/>
        <v>484327.60340155568</v>
      </c>
      <c r="J123" s="53">
        <f t="shared" si="29"/>
        <v>0</v>
      </c>
      <c r="K123" s="53"/>
      <c r="L123" s="112"/>
      <c r="M123" s="53">
        <f t="shared" si="50"/>
        <v>0</v>
      </c>
      <c r="N123" s="112"/>
      <c r="O123" s="53">
        <f t="shared" si="37"/>
        <v>0</v>
      </c>
      <c r="P123" s="53">
        <f t="shared" si="38"/>
        <v>0</v>
      </c>
    </row>
    <row r="124" spans="2:16">
      <c r="B124" t="str">
        <f t="shared" si="28"/>
        <v/>
      </c>
      <c r="C124" s="49">
        <f>IF(D94="","-",+C123+1)</f>
        <v>2042</v>
      </c>
      <c r="D124" s="11">
        <f>IF(F123+SUM(E$100:E123)=D$93,F123,D$93-SUM(E$100:E123))</f>
        <v>1684246.9608301404</v>
      </c>
      <c r="E124" s="377">
        <f t="shared" si="45"/>
        <v>279208.26218750002</v>
      </c>
      <c r="F124" s="54">
        <f t="shared" si="46"/>
        <v>1405038.6986426404</v>
      </c>
      <c r="G124" s="54">
        <f t="shared" si="47"/>
        <v>1544642.8297363904</v>
      </c>
      <c r="H124" s="459">
        <f t="shared" si="48"/>
        <v>452926.45719229529</v>
      </c>
      <c r="I124" s="446">
        <f t="shared" si="49"/>
        <v>452926.45719229529</v>
      </c>
      <c r="J124" s="53">
        <f t="shared" si="29"/>
        <v>0</v>
      </c>
      <c r="K124" s="53"/>
      <c r="L124" s="112"/>
      <c r="M124" s="53">
        <f t="shared" si="50"/>
        <v>0</v>
      </c>
      <c r="N124" s="112"/>
      <c r="O124" s="53">
        <f t="shared" si="37"/>
        <v>0</v>
      </c>
      <c r="P124" s="53">
        <f t="shared" si="38"/>
        <v>0</v>
      </c>
    </row>
    <row r="125" spans="2:16">
      <c r="B125" t="str">
        <f t="shared" si="28"/>
        <v/>
      </c>
      <c r="C125" s="49">
        <f>IF(D94="","-",+C124+1)</f>
        <v>2043</v>
      </c>
      <c r="D125" s="11">
        <f>IF(F124+SUM(E$100:E124)=D$93,F124,D$93-SUM(E$100:E124))</f>
        <v>1405038.6986426404</v>
      </c>
      <c r="E125" s="377">
        <f t="shared" si="45"/>
        <v>279208.26218750002</v>
      </c>
      <c r="F125" s="54">
        <f t="shared" si="46"/>
        <v>1125830.4364551404</v>
      </c>
      <c r="G125" s="54">
        <f t="shared" si="47"/>
        <v>1265434.5675488904</v>
      </c>
      <c r="H125" s="459">
        <f t="shared" si="48"/>
        <v>421525.3109830349</v>
      </c>
      <c r="I125" s="446">
        <f t="shared" si="49"/>
        <v>421525.3109830349</v>
      </c>
      <c r="J125" s="53">
        <f t="shared" si="29"/>
        <v>0</v>
      </c>
      <c r="K125" s="53"/>
      <c r="L125" s="112"/>
      <c r="M125" s="53">
        <f t="shared" si="50"/>
        <v>0</v>
      </c>
      <c r="N125" s="112"/>
      <c r="O125" s="53">
        <f t="shared" si="37"/>
        <v>0</v>
      </c>
      <c r="P125" s="53">
        <f t="shared" si="38"/>
        <v>0</v>
      </c>
    </row>
    <row r="126" spans="2:16">
      <c r="B126" t="str">
        <f t="shared" si="28"/>
        <v/>
      </c>
      <c r="C126" s="49">
        <f>IF(D94="","-",+C125+1)</f>
        <v>2044</v>
      </c>
      <c r="D126" s="11">
        <f>IF(F125+SUM(E$100:E125)=D$93,F125,D$93-SUM(E$100:E125))</f>
        <v>1125830.4364551404</v>
      </c>
      <c r="E126" s="377">
        <f t="shared" si="45"/>
        <v>279208.26218750002</v>
      </c>
      <c r="F126" s="54">
        <f t="shared" si="46"/>
        <v>846622.17426764034</v>
      </c>
      <c r="G126" s="54">
        <f t="shared" si="47"/>
        <v>986226.30536139035</v>
      </c>
      <c r="H126" s="459">
        <f t="shared" si="48"/>
        <v>390124.16477377445</v>
      </c>
      <c r="I126" s="446">
        <f t="shared" si="49"/>
        <v>390124.16477377445</v>
      </c>
      <c r="J126" s="53">
        <f t="shared" si="29"/>
        <v>0</v>
      </c>
      <c r="K126" s="53"/>
      <c r="L126" s="112"/>
      <c r="M126" s="53">
        <f t="shared" si="50"/>
        <v>0</v>
      </c>
      <c r="N126" s="112"/>
      <c r="O126" s="53">
        <f t="shared" si="37"/>
        <v>0</v>
      </c>
      <c r="P126" s="53">
        <f t="shared" si="38"/>
        <v>0</v>
      </c>
    </row>
    <row r="127" spans="2:16">
      <c r="B127" t="str">
        <f t="shared" si="28"/>
        <v/>
      </c>
      <c r="C127" s="49">
        <f>IF(D94="","-",+C126+1)</f>
        <v>2045</v>
      </c>
      <c r="D127" s="11">
        <f>IF(F126+SUM(E$100:E126)=D$93,F126,D$93-SUM(E$100:E126))</f>
        <v>846622.17426764034</v>
      </c>
      <c r="E127" s="377">
        <f t="shared" si="45"/>
        <v>279208.26218750002</v>
      </c>
      <c r="F127" s="54">
        <f t="shared" si="46"/>
        <v>567413.91208014032</v>
      </c>
      <c r="G127" s="54">
        <f t="shared" si="47"/>
        <v>707018.04317389033</v>
      </c>
      <c r="H127" s="459">
        <f t="shared" si="48"/>
        <v>358723.01856451406</v>
      </c>
      <c r="I127" s="446">
        <f t="shared" si="49"/>
        <v>358723.01856451406</v>
      </c>
      <c r="J127" s="53">
        <f t="shared" si="29"/>
        <v>0</v>
      </c>
      <c r="K127" s="53"/>
      <c r="L127" s="112"/>
      <c r="M127" s="53">
        <f t="shared" si="50"/>
        <v>0</v>
      </c>
      <c r="N127" s="112"/>
      <c r="O127" s="53">
        <f t="shared" si="37"/>
        <v>0</v>
      </c>
      <c r="P127" s="53">
        <f t="shared" si="38"/>
        <v>0</v>
      </c>
    </row>
    <row r="128" spans="2:16">
      <c r="B128" t="str">
        <f t="shared" si="28"/>
        <v/>
      </c>
      <c r="C128" s="49">
        <f>IF(D94="","-",+C127+1)</f>
        <v>2046</v>
      </c>
      <c r="D128" s="11">
        <f>IF(F127+SUM(E$100:E127)=D$93,F127,D$93-SUM(E$100:E127))</f>
        <v>567413.91208014032</v>
      </c>
      <c r="E128" s="377">
        <f t="shared" si="45"/>
        <v>279208.26218750002</v>
      </c>
      <c r="F128" s="54">
        <f t="shared" si="46"/>
        <v>288205.6498926403</v>
      </c>
      <c r="G128" s="54">
        <f t="shared" si="47"/>
        <v>427809.78098639031</v>
      </c>
      <c r="H128" s="459">
        <f t="shared" si="48"/>
        <v>327321.87235525361</v>
      </c>
      <c r="I128" s="446">
        <f t="shared" si="49"/>
        <v>327321.87235525361</v>
      </c>
      <c r="J128" s="53">
        <f t="shared" si="29"/>
        <v>0</v>
      </c>
      <c r="K128" s="53"/>
      <c r="L128" s="112"/>
      <c r="M128" s="53">
        <f t="shared" si="50"/>
        <v>0</v>
      </c>
      <c r="N128" s="112"/>
      <c r="O128" s="53">
        <f t="shared" si="37"/>
        <v>0</v>
      </c>
      <c r="P128" s="53">
        <f t="shared" si="38"/>
        <v>0</v>
      </c>
    </row>
    <row r="129" spans="2:16">
      <c r="B129" t="str">
        <f t="shared" si="28"/>
        <v/>
      </c>
      <c r="C129" s="49">
        <f>IF(D94="","-",+C128+1)</f>
        <v>2047</v>
      </c>
      <c r="D129" s="11">
        <f>IF(F128+SUM(E$100:E128)=D$93,F128,D$93-SUM(E$100:E128))</f>
        <v>288205.6498926403</v>
      </c>
      <c r="E129" s="377">
        <f t="shared" si="45"/>
        <v>279208.26218750002</v>
      </c>
      <c r="F129" s="54">
        <f t="shared" si="46"/>
        <v>8997.3877051402815</v>
      </c>
      <c r="G129" s="54">
        <f t="shared" si="47"/>
        <v>148601.51879889029</v>
      </c>
      <c r="H129" s="459">
        <f t="shared" si="48"/>
        <v>295920.72614599322</v>
      </c>
      <c r="I129" s="446">
        <f t="shared" si="49"/>
        <v>295920.72614599322</v>
      </c>
      <c r="J129" s="53">
        <f t="shared" si="29"/>
        <v>0</v>
      </c>
      <c r="K129" s="53"/>
      <c r="L129" s="112"/>
      <c r="M129" s="53">
        <f t="shared" si="50"/>
        <v>0</v>
      </c>
      <c r="N129" s="112"/>
      <c r="O129" s="53">
        <f t="shared" si="37"/>
        <v>0</v>
      </c>
      <c r="P129" s="53">
        <f t="shared" si="38"/>
        <v>0</v>
      </c>
    </row>
    <row r="130" spans="2:16">
      <c r="B130" t="str">
        <f t="shared" si="28"/>
        <v/>
      </c>
      <c r="C130" s="49">
        <f>IF(D94="","-",+C129+1)</f>
        <v>2048</v>
      </c>
      <c r="D130" s="11">
        <f>IF(F129+SUM(E$100:E129)=D$93,F129,D$93-SUM(E$100:E129))</f>
        <v>8997.3877051402815</v>
      </c>
      <c r="E130" s="377">
        <f t="shared" si="45"/>
        <v>8997.3877051402815</v>
      </c>
      <c r="F130" s="54">
        <f t="shared" si="46"/>
        <v>0</v>
      </c>
      <c r="G130" s="54">
        <f t="shared" si="47"/>
        <v>4498.6938525701407</v>
      </c>
      <c r="H130" s="459">
        <f t="shared" si="48"/>
        <v>9503.3331320717789</v>
      </c>
      <c r="I130" s="446">
        <f t="shared" si="49"/>
        <v>9503.3331320717789</v>
      </c>
      <c r="J130" s="53">
        <f t="shared" si="29"/>
        <v>0</v>
      </c>
      <c r="K130" s="53"/>
      <c r="L130" s="112"/>
      <c r="M130" s="53">
        <f t="shared" si="50"/>
        <v>0</v>
      </c>
      <c r="N130" s="112"/>
      <c r="O130" s="53">
        <f t="shared" si="37"/>
        <v>0</v>
      </c>
      <c r="P130" s="53">
        <f t="shared" si="38"/>
        <v>0</v>
      </c>
    </row>
    <row r="131" spans="2:16">
      <c r="B131" t="str">
        <f t="shared" si="28"/>
        <v/>
      </c>
      <c r="C131" s="49">
        <f>IF(D94="","-",+C130+1)</f>
        <v>2049</v>
      </c>
      <c r="D131" s="11">
        <f>IF(F130+SUM(E$100:E130)=D$93,F130,D$93-SUM(E$100:E130))</f>
        <v>0</v>
      </c>
      <c r="E131" s="377">
        <f t="shared" si="45"/>
        <v>0</v>
      </c>
      <c r="F131" s="54">
        <f t="shared" si="46"/>
        <v>0</v>
      </c>
      <c r="G131" s="54">
        <f t="shared" si="47"/>
        <v>0</v>
      </c>
      <c r="H131" s="459">
        <f t="shared" si="48"/>
        <v>0</v>
      </c>
      <c r="I131" s="446">
        <f t="shared" si="49"/>
        <v>0</v>
      </c>
      <c r="J131" s="53">
        <f t="shared" si="29"/>
        <v>0</v>
      </c>
      <c r="K131" s="53"/>
      <c r="L131" s="112"/>
      <c r="M131" s="53">
        <f t="shared" si="50"/>
        <v>0</v>
      </c>
      <c r="N131" s="112"/>
      <c r="O131" s="53">
        <f t="shared" si="37"/>
        <v>0</v>
      </c>
      <c r="P131" s="53">
        <f t="shared" si="38"/>
        <v>0</v>
      </c>
    </row>
    <row r="132" spans="2:16">
      <c r="B132" t="str">
        <f t="shared" si="28"/>
        <v/>
      </c>
      <c r="C132" s="49">
        <f>IF(D94="","-",+C131+1)</f>
        <v>2050</v>
      </c>
      <c r="D132" s="11">
        <f>IF(F131+SUM(E$100:E131)=D$93,F131,D$93-SUM(E$100:E131))</f>
        <v>0</v>
      </c>
      <c r="E132" s="377">
        <f t="shared" si="45"/>
        <v>0</v>
      </c>
      <c r="F132" s="54">
        <f t="shared" si="46"/>
        <v>0</v>
      </c>
      <c r="G132" s="54">
        <f t="shared" si="47"/>
        <v>0</v>
      </c>
      <c r="H132" s="459">
        <f t="shared" si="48"/>
        <v>0</v>
      </c>
      <c r="I132" s="446">
        <f t="shared" si="49"/>
        <v>0</v>
      </c>
      <c r="J132" s="53">
        <f t="shared" ref="J132:J155" si="51">+I542-H542</f>
        <v>0</v>
      </c>
      <c r="K132" s="53"/>
      <c r="L132" s="112"/>
      <c r="M132" s="53">
        <f t="shared" ref="M132:M155" si="52">IF(L542&lt;&gt;0,+H542-L542,0)</f>
        <v>0</v>
      </c>
      <c r="N132" s="112"/>
      <c r="O132" s="53">
        <f t="shared" ref="O132:O155" si="53">IF(N542&lt;&gt;0,+I542-N542,0)</f>
        <v>0</v>
      </c>
      <c r="P132" s="53">
        <f t="shared" ref="P132:P155" si="54">+O542-M542</f>
        <v>0</v>
      </c>
    </row>
    <row r="133" spans="2:16">
      <c r="B133" t="str">
        <f t="shared" si="28"/>
        <v/>
      </c>
      <c r="C133" s="49">
        <f>IF(D94="","-",+C132+1)</f>
        <v>2051</v>
      </c>
      <c r="D133" s="11">
        <f>IF(F132+SUM(E$100:E132)=D$93,F132,D$93-SUM(E$100:E132))</f>
        <v>0</v>
      </c>
      <c r="E133" s="377">
        <f t="shared" si="45"/>
        <v>0</v>
      </c>
      <c r="F133" s="54">
        <f t="shared" si="46"/>
        <v>0</v>
      </c>
      <c r="G133" s="54">
        <f t="shared" si="47"/>
        <v>0</v>
      </c>
      <c r="H133" s="459">
        <f t="shared" si="48"/>
        <v>0</v>
      </c>
      <c r="I133" s="446">
        <f t="shared" si="49"/>
        <v>0</v>
      </c>
      <c r="J133" s="53">
        <f t="shared" si="51"/>
        <v>0</v>
      </c>
      <c r="K133" s="53"/>
      <c r="L133" s="112"/>
      <c r="M133" s="53">
        <f t="shared" si="52"/>
        <v>0</v>
      </c>
      <c r="N133" s="112"/>
      <c r="O133" s="53">
        <f t="shared" si="53"/>
        <v>0</v>
      </c>
      <c r="P133" s="53">
        <f t="shared" si="54"/>
        <v>0</v>
      </c>
    </row>
    <row r="134" spans="2:16">
      <c r="B134" t="str">
        <f t="shared" si="28"/>
        <v/>
      </c>
      <c r="C134" s="49">
        <f>IF(D94="","-",+C133+1)</f>
        <v>2052</v>
      </c>
      <c r="D134" s="11">
        <f>IF(F133+SUM(E$100:E133)=D$93,F133,D$93-SUM(E$100:E133))</f>
        <v>0</v>
      </c>
      <c r="E134" s="377">
        <f t="shared" si="45"/>
        <v>0</v>
      </c>
      <c r="F134" s="54">
        <f t="shared" si="46"/>
        <v>0</v>
      </c>
      <c r="G134" s="54">
        <f t="shared" si="47"/>
        <v>0</v>
      </c>
      <c r="H134" s="459">
        <f t="shared" si="48"/>
        <v>0</v>
      </c>
      <c r="I134" s="446">
        <f t="shared" si="49"/>
        <v>0</v>
      </c>
      <c r="J134" s="53">
        <f t="shared" si="51"/>
        <v>0</v>
      </c>
      <c r="K134" s="53"/>
      <c r="L134" s="112"/>
      <c r="M134" s="53">
        <f t="shared" si="52"/>
        <v>0</v>
      </c>
      <c r="N134" s="112"/>
      <c r="O134" s="53">
        <f t="shared" si="53"/>
        <v>0</v>
      </c>
      <c r="P134" s="53">
        <f t="shared" si="54"/>
        <v>0</v>
      </c>
    </row>
    <row r="135" spans="2:16">
      <c r="B135" t="str">
        <f t="shared" si="28"/>
        <v/>
      </c>
      <c r="C135" s="49">
        <f>IF(D94="","-",+C134+1)</f>
        <v>2053</v>
      </c>
      <c r="D135" s="11">
        <f>IF(F134+SUM(E$100:E134)=D$93,F134,D$93-SUM(E$100:E134))</f>
        <v>0</v>
      </c>
      <c r="E135" s="377">
        <f t="shared" si="45"/>
        <v>0</v>
      </c>
      <c r="F135" s="54">
        <f t="shared" si="46"/>
        <v>0</v>
      </c>
      <c r="G135" s="54">
        <f t="shared" si="47"/>
        <v>0</v>
      </c>
      <c r="H135" s="459">
        <f t="shared" si="48"/>
        <v>0</v>
      </c>
      <c r="I135" s="446">
        <f t="shared" si="49"/>
        <v>0</v>
      </c>
      <c r="J135" s="53">
        <f t="shared" si="51"/>
        <v>0</v>
      </c>
      <c r="K135" s="53"/>
      <c r="L135" s="112"/>
      <c r="M135" s="53">
        <f t="shared" si="52"/>
        <v>0</v>
      </c>
      <c r="N135" s="112"/>
      <c r="O135" s="53">
        <f t="shared" si="53"/>
        <v>0</v>
      </c>
      <c r="P135" s="53">
        <f t="shared" si="54"/>
        <v>0</v>
      </c>
    </row>
    <row r="136" spans="2:16">
      <c r="B136" t="str">
        <f t="shared" si="28"/>
        <v/>
      </c>
      <c r="C136" s="49">
        <f>IF(D94="","-",+C135+1)</f>
        <v>2054</v>
      </c>
      <c r="D136" s="11">
        <f>IF(F135+SUM(E$100:E135)=D$93,F135,D$93-SUM(E$100:E135))</f>
        <v>0</v>
      </c>
      <c r="E136" s="377">
        <f t="shared" si="45"/>
        <v>0</v>
      </c>
      <c r="F136" s="54">
        <f t="shared" si="46"/>
        <v>0</v>
      </c>
      <c r="G136" s="54">
        <f t="shared" si="47"/>
        <v>0</v>
      </c>
      <c r="H136" s="459">
        <f t="shared" si="48"/>
        <v>0</v>
      </c>
      <c r="I136" s="446">
        <f t="shared" si="49"/>
        <v>0</v>
      </c>
      <c r="J136" s="53">
        <f t="shared" si="51"/>
        <v>0</v>
      </c>
      <c r="K136" s="53"/>
      <c r="L136" s="112"/>
      <c r="M136" s="53">
        <f t="shared" si="52"/>
        <v>0</v>
      </c>
      <c r="N136" s="112"/>
      <c r="O136" s="53">
        <f t="shared" si="53"/>
        <v>0</v>
      </c>
      <c r="P136" s="53">
        <f t="shared" si="54"/>
        <v>0</v>
      </c>
    </row>
    <row r="137" spans="2:16">
      <c r="B137" t="str">
        <f t="shared" si="28"/>
        <v/>
      </c>
      <c r="C137" s="49">
        <f>IF(D94="","-",+C136+1)</f>
        <v>2055</v>
      </c>
      <c r="D137" s="11">
        <f>IF(F136+SUM(E$100:E136)=D$93,F136,D$93-SUM(E$100:E136))</f>
        <v>0</v>
      </c>
      <c r="E137" s="377">
        <f t="shared" si="45"/>
        <v>0</v>
      </c>
      <c r="F137" s="54">
        <f t="shared" si="46"/>
        <v>0</v>
      </c>
      <c r="G137" s="54">
        <f t="shared" si="47"/>
        <v>0</v>
      </c>
      <c r="H137" s="459">
        <f t="shared" si="48"/>
        <v>0</v>
      </c>
      <c r="I137" s="446">
        <f t="shared" si="49"/>
        <v>0</v>
      </c>
      <c r="J137" s="53">
        <f t="shared" si="51"/>
        <v>0</v>
      </c>
      <c r="K137" s="53"/>
      <c r="L137" s="112"/>
      <c r="M137" s="53">
        <f t="shared" si="52"/>
        <v>0</v>
      </c>
      <c r="N137" s="112"/>
      <c r="O137" s="53">
        <f t="shared" si="53"/>
        <v>0</v>
      </c>
      <c r="P137" s="53">
        <f t="shared" si="54"/>
        <v>0</v>
      </c>
    </row>
    <row r="138" spans="2:16">
      <c r="B138" t="str">
        <f t="shared" si="28"/>
        <v/>
      </c>
      <c r="C138" s="49">
        <f>IF(D94="","-",+C137+1)</f>
        <v>2056</v>
      </c>
      <c r="D138" s="11">
        <f>IF(F137+SUM(E$100:E137)=D$93,F137,D$93-SUM(E$100:E137))</f>
        <v>0</v>
      </c>
      <c r="E138" s="377">
        <f t="shared" si="45"/>
        <v>0</v>
      </c>
      <c r="F138" s="54">
        <f t="shared" si="46"/>
        <v>0</v>
      </c>
      <c r="G138" s="54">
        <f t="shared" si="47"/>
        <v>0</v>
      </c>
      <c r="H138" s="459">
        <f t="shared" si="48"/>
        <v>0</v>
      </c>
      <c r="I138" s="446">
        <f t="shared" si="49"/>
        <v>0</v>
      </c>
      <c r="J138" s="53">
        <f t="shared" si="51"/>
        <v>0</v>
      </c>
      <c r="K138" s="53"/>
      <c r="L138" s="112"/>
      <c r="M138" s="53">
        <f t="shared" si="52"/>
        <v>0</v>
      </c>
      <c r="N138" s="112"/>
      <c r="O138" s="53">
        <f t="shared" si="53"/>
        <v>0</v>
      </c>
      <c r="P138" s="53">
        <f t="shared" si="54"/>
        <v>0</v>
      </c>
    </row>
    <row r="139" spans="2:16">
      <c r="B139" t="str">
        <f t="shared" si="28"/>
        <v/>
      </c>
      <c r="C139" s="49">
        <f>IF(D94="","-",+C138+1)</f>
        <v>2057</v>
      </c>
      <c r="D139" s="11">
        <f>IF(F138+SUM(E$100:E138)=D$93,F138,D$93-SUM(E$100:E138))</f>
        <v>0</v>
      </c>
      <c r="E139" s="377">
        <f t="shared" si="45"/>
        <v>0</v>
      </c>
      <c r="F139" s="54">
        <f t="shared" si="46"/>
        <v>0</v>
      </c>
      <c r="G139" s="54">
        <f t="shared" si="47"/>
        <v>0</v>
      </c>
      <c r="H139" s="459">
        <f t="shared" si="48"/>
        <v>0</v>
      </c>
      <c r="I139" s="446">
        <f t="shared" si="49"/>
        <v>0</v>
      </c>
      <c r="J139" s="53">
        <f t="shared" si="51"/>
        <v>0</v>
      </c>
      <c r="K139" s="53"/>
      <c r="L139" s="112"/>
      <c r="M139" s="53">
        <f t="shared" si="52"/>
        <v>0</v>
      </c>
      <c r="N139" s="112"/>
      <c r="O139" s="53">
        <f t="shared" si="53"/>
        <v>0</v>
      </c>
      <c r="P139" s="53">
        <f t="shared" si="54"/>
        <v>0</v>
      </c>
    </row>
    <row r="140" spans="2:16">
      <c r="B140" t="str">
        <f t="shared" si="28"/>
        <v/>
      </c>
      <c r="C140" s="49">
        <f>IF(D94="","-",+C139+1)</f>
        <v>2058</v>
      </c>
      <c r="D140" s="11">
        <f>IF(F139+SUM(E$100:E139)=D$93,F139,D$93-SUM(E$100:E139))</f>
        <v>0</v>
      </c>
      <c r="E140" s="377">
        <f t="shared" si="45"/>
        <v>0</v>
      </c>
      <c r="F140" s="54">
        <f t="shared" si="46"/>
        <v>0</v>
      </c>
      <c r="G140" s="54">
        <f t="shared" si="47"/>
        <v>0</v>
      </c>
      <c r="H140" s="459">
        <f t="shared" si="48"/>
        <v>0</v>
      </c>
      <c r="I140" s="446">
        <f t="shared" si="49"/>
        <v>0</v>
      </c>
      <c r="J140" s="53">
        <f t="shared" si="51"/>
        <v>0</v>
      </c>
      <c r="K140" s="53"/>
      <c r="L140" s="112"/>
      <c r="M140" s="53">
        <f t="shared" si="52"/>
        <v>0</v>
      </c>
      <c r="N140" s="112"/>
      <c r="O140" s="53">
        <f t="shared" si="53"/>
        <v>0</v>
      </c>
      <c r="P140" s="53">
        <f t="shared" si="54"/>
        <v>0</v>
      </c>
    </row>
    <row r="141" spans="2:16">
      <c r="B141" t="str">
        <f t="shared" si="28"/>
        <v/>
      </c>
      <c r="C141" s="49">
        <f>IF(D94="","-",+C140+1)</f>
        <v>2059</v>
      </c>
      <c r="D141" s="11">
        <f>IF(F140+SUM(E$100:E140)=D$93,F140,D$93-SUM(E$100:E140))</f>
        <v>0</v>
      </c>
      <c r="E141" s="377">
        <f t="shared" si="45"/>
        <v>0</v>
      </c>
      <c r="F141" s="54">
        <f t="shared" si="46"/>
        <v>0</v>
      </c>
      <c r="G141" s="54">
        <f t="shared" si="47"/>
        <v>0</v>
      </c>
      <c r="H141" s="459">
        <f t="shared" si="48"/>
        <v>0</v>
      </c>
      <c r="I141" s="446">
        <f t="shared" si="49"/>
        <v>0</v>
      </c>
      <c r="J141" s="53">
        <f t="shared" si="51"/>
        <v>0</v>
      </c>
      <c r="K141" s="53"/>
      <c r="L141" s="112"/>
      <c r="M141" s="53">
        <f t="shared" si="52"/>
        <v>0</v>
      </c>
      <c r="N141" s="112"/>
      <c r="O141" s="53">
        <f t="shared" si="53"/>
        <v>0</v>
      </c>
      <c r="P141" s="53">
        <f t="shared" si="54"/>
        <v>0</v>
      </c>
    </row>
    <row r="142" spans="2:16">
      <c r="B142" t="str">
        <f t="shared" si="28"/>
        <v/>
      </c>
      <c r="C142" s="49">
        <f>IF(D94="","-",+C141+1)</f>
        <v>2060</v>
      </c>
      <c r="D142" s="11">
        <f>IF(F141+SUM(E$100:E141)=D$93,F141,D$93-SUM(E$100:E141))</f>
        <v>0</v>
      </c>
      <c r="E142" s="377">
        <f t="shared" si="45"/>
        <v>0</v>
      </c>
      <c r="F142" s="54">
        <f t="shared" si="46"/>
        <v>0</v>
      </c>
      <c r="G142" s="54">
        <f t="shared" si="47"/>
        <v>0</v>
      </c>
      <c r="H142" s="459">
        <f t="shared" si="48"/>
        <v>0</v>
      </c>
      <c r="I142" s="446">
        <f t="shared" si="49"/>
        <v>0</v>
      </c>
      <c r="J142" s="53">
        <f t="shared" si="51"/>
        <v>0</v>
      </c>
      <c r="K142" s="53"/>
      <c r="L142" s="112"/>
      <c r="M142" s="53">
        <f t="shared" si="52"/>
        <v>0</v>
      </c>
      <c r="N142" s="112"/>
      <c r="O142" s="53">
        <f t="shared" si="53"/>
        <v>0</v>
      </c>
      <c r="P142" s="53">
        <f t="shared" si="54"/>
        <v>0</v>
      </c>
    </row>
    <row r="143" spans="2:16">
      <c r="B143" t="str">
        <f t="shared" si="28"/>
        <v/>
      </c>
      <c r="C143" s="49">
        <f>IF(D94="","-",+C142+1)</f>
        <v>2061</v>
      </c>
      <c r="D143" s="11">
        <f>IF(F142+SUM(E$100:E142)=D$93,F142,D$93-SUM(E$100:E142))</f>
        <v>0</v>
      </c>
      <c r="E143" s="377">
        <f t="shared" si="45"/>
        <v>0</v>
      </c>
      <c r="F143" s="54">
        <f t="shared" si="46"/>
        <v>0</v>
      </c>
      <c r="G143" s="54">
        <f t="shared" si="47"/>
        <v>0</v>
      </c>
      <c r="H143" s="459">
        <f t="shared" si="48"/>
        <v>0</v>
      </c>
      <c r="I143" s="446">
        <f t="shared" si="49"/>
        <v>0</v>
      </c>
      <c r="J143" s="53">
        <f t="shared" si="51"/>
        <v>0</v>
      </c>
      <c r="K143" s="53"/>
      <c r="L143" s="112"/>
      <c r="M143" s="53">
        <f t="shared" si="52"/>
        <v>0</v>
      </c>
      <c r="N143" s="112"/>
      <c r="O143" s="53">
        <f t="shared" si="53"/>
        <v>0</v>
      </c>
      <c r="P143" s="53">
        <f t="shared" si="54"/>
        <v>0</v>
      </c>
    </row>
    <row r="144" spans="2:16">
      <c r="B144" t="str">
        <f t="shared" si="28"/>
        <v/>
      </c>
      <c r="C144" s="49">
        <f>IF(D94="","-",+C143+1)</f>
        <v>2062</v>
      </c>
      <c r="D144" s="11">
        <f>IF(F143+SUM(E$100:E143)=D$93,F143,D$93-SUM(E$100:E143))</f>
        <v>0</v>
      </c>
      <c r="E144" s="377">
        <f t="shared" si="45"/>
        <v>0</v>
      </c>
      <c r="F144" s="54">
        <f t="shared" si="46"/>
        <v>0</v>
      </c>
      <c r="G144" s="54">
        <f t="shared" si="47"/>
        <v>0</v>
      </c>
      <c r="H144" s="459">
        <f t="shared" si="48"/>
        <v>0</v>
      </c>
      <c r="I144" s="446">
        <f t="shared" si="49"/>
        <v>0</v>
      </c>
      <c r="J144" s="53">
        <f t="shared" si="51"/>
        <v>0</v>
      </c>
      <c r="K144" s="53"/>
      <c r="L144" s="112"/>
      <c r="M144" s="53">
        <f t="shared" si="52"/>
        <v>0</v>
      </c>
      <c r="N144" s="112"/>
      <c r="O144" s="53">
        <f t="shared" si="53"/>
        <v>0</v>
      </c>
      <c r="P144" s="53">
        <f t="shared" si="54"/>
        <v>0</v>
      </c>
    </row>
    <row r="145" spans="2:16">
      <c r="B145" t="str">
        <f t="shared" si="28"/>
        <v/>
      </c>
      <c r="C145" s="49">
        <f>IF(D94="","-",+C144+1)</f>
        <v>2063</v>
      </c>
      <c r="D145" s="11">
        <f>IF(F144+SUM(E$100:E144)=D$93,F144,D$93-SUM(E$100:E144))</f>
        <v>0</v>
      </c>
      <c r="E145" s="377">
        <f t="shared" si="45"/>
        <v>0</v>
      </c>
      <c r="F145" s="54">
        <f t="shared" si="46"/>
        <v>0</v>
      </c>
      <c r="G145" s="54">
        <f t="shared" si="47"/>
        <v>0</v>
      </c>
      <c r="H145" s="459">
        <f t="shared" si="48"/>
        <v>0</v>
      </c>
      <c r="I145" s="446">
        <f t="shared" si="49"/>
        <v>0</v>
      </c>
      <c r="J145" s="53">
        <f t="shared" si="51"/>
        <v>0</v>
      </c>
      <c r="K145" s="53"/>
      <c r="L145" s="112"/>
      <c r="M145" s="53">
        <f t="shared" si="52"/>
        <v>0</v>
      </c>
      <c r="N145" s="112"/>
      <c r="O145" s="53">
        <f t="shared" si="53"/>
        <v>0</v>
      </c>
      <c r="P145" s="53">
        <f t="shared" si="54"/>
        <v>0</v>
      </c>
    </row>
    <row r="146" spans="2:16">
      <c r="B146" t="str">
        <f t="shared" si="28"/>
        <v/>
      </c>
      <c r="C146" s="49">
        <f>IF(D94="","-",+C145+1)</f>
        <v>2064</v>
      </c>
      <c r="D146" s="11">
        <f>IF(F145+SUM(E$100:E145)=D$93,F145,D$93-SUM(E$100:E145))</f>
        <v>0</v>
      </c>
      <c r="E146" s="377">
        <f t="shared" si="45"/>
        <v>0</v>
      </c>
      <c r="F146" s="54">
        <f t="shared" si="46"/>
        <v>0</v>
      </c>
      <c r="G146" s="54">
        <f t="shared" si="47"/>
        <v>0</v>
      </c>
      <c r="H146" s="459">
        <f t="shared" si="48"/>
        <v>0</v>
      </c>
      <c r="I146" s="446">
        <f t="shared" si="49"/>
        <v>0</v>
      </c>
      <c r="J146" s="53">
        <f t="shared" si="51"/>
        <v>0</v>
      </c>
      <c r="K146" s="53"/>
      <c r="L146" s="112"/>
      <c r="M146" s="53">
        <f t="shared" si="52"/>
        <v>0</v>
      </c>
      <c r="N146" s="112"/>
      <c r="O146" s="53">
        <f t="shared" si="53"/>
        <v>0</v>
      </c>
      <c r="P146" s="53">
        <f t="shared" si="54"/>
        <v>0</v>
      </c>
    </row>
    <row r="147" spans="2:16">
      <c r="B147" t="str">
        <f t="shared" si="28"/>
        <v/>
      </c>
      <c r="C147" s="49">
        <f>IF(D94="","-",+C146+1)</f>
        <v>2065</v>
      </c>
      <c r="D147" s="11">
        <f>IF(F146+SUM(E$100:E146)=D$93,F146,D$93-SUM(E$100:E146))</f>
        <v>0</v>
      </c>
      <c r="E147" s="377">
        <f t="shared" si="45"/>
        <v>0</v>
      </c>
      <c r="F147" s="54">
        <f t="shared" si="46"/>
        <v>0</v>
      </c>
      <c r="G147" s="54">
        <f t="shared" si="47"/>
        <v>0</v>
      </c>
      <c r="H147" s="459">
        <f t="shared" si="48"/>
        <v>0</v>
      </c>
      <c r="I147" s="446">
        <f t="shared" si="49"/>
        <v>0</v>
      </c>
      <c r="J147" s="53">
        <f t="shared" si="51"/>
        <v>0</v>
      </c>
      <c r="K147" s="53"/>
      <c r="L147" s="112"/>
      <c r="M147" s="53">
        <f t="shared" si="52"/>
        <v>0</v>
      </c>
      <c r="N147" s="112"/>
      <c r="O147" s="53">
        <f t="shared" si="53"/>
        <v>0</v>
      </c>
      <c r="P147" s="53">
        <f t="shared" si="54"/>
        <v>0</v>
      </c>
    </row>
    <row r="148" spans="2:16">
      <c r="B148" t="str">
        <f t="shared" si="28"/>
        <v/>
      </c>
      <c r="C148" s="49">
        <f>IF(D94="","-",+C147+1)</f>
        <v>2066</v>
      </c>
      <c r="D148" s="11">
        <f>IF(F147+SUM(E$100:E147)=D$93,F147,D$93-SUM(E$100:E147))</f>
        <v>0</v>
      </c>
      <c r="E148" s="377">
        <f t="shared" si="45"/>
        <v>0</v>
      </c>
      <c r="F148" s="54">
        <f t="shared" si="46"/>
        <v>0</v>
      </c>
      <c r="G148" s="54">
        <f t="shared" si="47"/>
        <v>0</v>
      </c>
      <c r="H148" s="459">
        <f t="shared" si="48"/>
        <v>0</v>
      </c>
      <c r="I148" s="446">
        <f t="shared" si="49"/>
        <v>0</v>
      </c>
      <c r="J148" s="53">
        <f t="shared" si="51"/>
        <v>0</v>
      </c>
      <c r="K148" s="53"/>
      <c r="L148" s="112"/>
      <c r="M148" s="53">
        <f t="shared" si="52"/>
        <v>0</v>
      </c>
      <c r="N148" s="112"/>
      <c r="O148" s="53">
        <f t="shared" si="53"/>
        <v>0</v>
      </c>
      <c r="P148" s="53">
        <f t="shared" si="54"/>
        <v>0</v>
      </c>
    </row>
    <row r="149" spans="2:16">
      <c r="B149" t="str">
        <f t="shared" si="28"/>
        <v/>
      </c>
      <c r="C149" s="49">
        <f>IF(D94="","-",+C148+1)</f>
        <v>2067</v>
      </c>
      <c r="D149" s="11">
        <f>IF(F148+SUM(E$100:E148)=D$93,F148,D$93-SUM(E$100:E148))</f>
        <v>0</v>
      </c>
      <c r="E149" s="377">
        <f t="shared" si="45"/>
        <v>0</v>
      </c>
      <c r="F149" s="54">
        <f t="shared" si="46"/>
        <v>0</v>
      </c>
      <c r="G149" s="54">
        <f t="shared" si="47"/>
        <v>0</v>
      </c>
      <c r="H149" s="459">
        <f t="shared" si="48"/>
        <v>0</v>
      </c>
      <c r="I149" s="446">
        <f t="shared" si="49"/>
        <v>0</v>
      </c>
      <c r="J149" s="53">
        <f t="shared" si="51"/>
        <v>0</v>
      </c>
      <c r="K149" s="53"/>
      <c r="L149" s="112"/>
      <c r="M149" s="53">
        <f t="shared" si="52"/>
        <v>0</v>
      </c>
      <c r="N149" s="112"/>
      <c r="O149" s="53">
        <f t="shared" si="53"/>
        <v>0</v>
      </c>
      <c r="P149" s="53">
        <f t="shared" si="54"/>
        <v>0</v>
      </c>
    </row>
    <row r="150" spans="2:16">
      <c r="B150" t="str">
        <f t="shared" si="28"/>
        <v/>
      </c>
      <c r="C150" s="49">
        <f>IF(D94="","-",+C149+1)</f>
        <v>2068</v>
      </c>
      <c r="D150" s="11">
        <f>IF(F149+SUM(E$100:E149)=D$93,F149,D$93-SUM(E$100:E149))</f>
        <v>0</v>
      </c>
      <c r="E150" s="377">
        <f t="shared" si="45"/>
        <v>0</v>
      </c>
      <c r="F150" s="54">
        <f t="shared" si="46"/>
        <v>0</v>
      </c>
      <c r="G150" s="54">
        <f t="shared" si="47"/>
        <v>0</v>
      </c>
      <c r="H150" s="459">
        <f t="shared" si="48"/>
        <v>0</v>
      </c>
      <c r="I150" s="446">
        <f t="shared" si="49"/>
        <v>0</v>
      </c>
      <c r="J150" s="53">
        <f t="shared" si="51"/>
        <v>0</v>
      </c>
      <c r="K150" s="53"/>
      <c r="L150" s="112"/>
      <c r="M150" s="53">
        <f t="shared" si="52"/>
        <v>0</v>
      </c>
      <c r="N150" s="112"/>
      <c r="O150" s="53">
        <f t="shared" si="53"/>
        <v>0</v>
      </c>
      <c r="P150" s="53">
        <f t="shared" si="54"/>
        <v>0</v>
      </c>
    </row>
    <row r="151" spans="2:16">
      <c r="B151" t="str">
        <f t="shared" si="28"/>
        <v/>
      </c>
      <c r="C151" s="49">
        <f>IF(D94="","-",+C150+1)</f>
        <v>2069</v>
      </c>
      <c r="D151" s="11">
        <f>IF(F150+SUM(E$100:E150)=D$93,F150,D$93-SUM(E$100:E150))</f>
        <v>0</v>
      </c>
      <c r="E151" s="377">
        <f t="shared" si="45"/>
        <v>0</v>
      </c>
      <c r="F151" s="54">
        <f t="shared" si="46"/>
        <v>0</v>
      </c>
      <c r="G151" s="54">
        <f t="shared" si="47"/>
        <v>0</v>
      </c>
      <c r="H151" s="459">
        <f t="shared" si="48"/>
        <v>0</v>
      </c>
      <c r="I151" s="446">
        <f t="shared" si="49"/>
        <v>0</v>
      </c>
      <c r="J151" s="53">
        <f t="shared" si="51"/>
        <v>0</v>
      </c>
      <c r="K151" s="53"/>
      <c r="L151" s="112"/>
      <c r="M151" s="53">
        <f t="shared" si="52"/>
        <v>0</v>
      </c>
      <c r="N151" s="112"/>
      <c r="O151" s="53">
        <f t="shared" si="53"/>
        <v>0</v>
      </c>
      <c r="P151" s="53">
        <f t="shared" si="54"/>
        <v>0</v>
      </c>
    </row>
    <row r="152" spans="2:16">
      <c r="B152" t="str">
        <f t="shared" si="28"/>
        <v/>
      </c>
      <c r="C152" s="49">
        <f>IF(D94="","-",+C151+1)</f>
        <v>2070</v>
      </c>
      <c r="D152" s="11">
        <f>IF(F151+SUM(E$100:E151)=D$93,F151,D$93-SUM(E$100:E151))</f>
        <v>0</v>
      </c>
      <c r="E152" s="377">
        <f t="shared" si="45"/>
        <v>0</v>
      </c>
      <c r="F152" s="54">
        <f t="shared" si="46"/>
        <v>0</v>
      </c>
      <c r="G152" s="54">
        <f t="shared" si="47"/>
        <v>0</v>
      </c>
      <c r="H152" s="459">
        <f t="shared" si="48"/>
        <v>0</v>
      </c>
      <c r="I152" s="446">
        <f t="shared" si="49"/>
        <v>0</v>
      </c>
      <c r="J152" s="53">
        <f t="shared" si="51"/>
        <v>0</v>
      </c>
      <c r="K152" s="53"/>
      <c r="L152" s="112"/>
      <c r="M152" s="53">
        <f t="shared" si="52"/>
        <v>0</v>
      </c>
      <c r="N152" s="112"/>
      <c r="O152" s="53">
        <f t="shared" si="53"/>
        <v>0</v>
      </c>
      <c r="P152" s="53">
        <f t="shared" si="54"/>
        <v>0</v>
      </c>
    </row>
    <row r="153" spans="2:16">
      <c r="B153" t="str">
        <f t="shared" si="28"/>
        <v/>
      </c>
      <c r="C153" s="49">
        <f>IF(D94="","-",+C152+1)</f>
        <v>2071</v>
      </c>
      <c r="D153" s="11">
        <f>IF(F152+SUM(E$100:E152)=D$93,F152,D$93-SUM(E$100:E152))</f>
        <v>0</v>
      </c>
      <c r="E153" s="377">
        <f t="shared" si="45"/>
        <v>0</v>
      </c>
      <c r="F153" s="54">
        <f t="shared" si="46"/>
        <v>0</v>
      </c>
      <c r="G153" s="54">
        <f t="shared" si="47"/>
        <v>0</v>
      </c>
      <c r="H153" s="459">
        <f t="shared" si="48"/>
        <v>0</v>
      </c>
      <c r="I153" s="446">
        <f t="shared" si="49"/>
        <v>0</v>
      </c>
      <c r="J153" s="53">
        <f t="shared" si="51"/>
        <v>0</v>
      </c>
      <c r="K153" s="53"/>
      <c r="L153" s="112"/>
      <c r="M153" s="53">
        <f t="shared" si="52"/>
        <v>0</v>
      </c>
      <c r="N153" s="112"/>
      <c r="O153" s="53">
        <f t="shared" si="53"/>
        <v>0</v>
      </c>
      <c r="P153" s="53">
        <f t="shared" si="54"/>
        <v>0</v>
      </c>
    </row>
    <row r="154" spans="2:16">
      <c r="B154" t="str">
        <f t="shared" si="28"/>
        <v/>
      </c>
      <c r="C154" s="49">
        <f>IF(D94="","-",+C153+1)</f>
        <v>2072</v>
      </c>
      <c r="D154" s="11">
        <f>IF(F153+SUM(E$100:E153)=D$93,F153,D$93-SUM(E$100:E153))</f>
        <v>0</v>
      </c>
      <c r="E154" s="377">
        <f t="shared" si="45"/>
        <v>0</v>
      </c>
      <c r="F154" s="54">
        <f t="shared" si="46"/>
        <v>0</v>
      </c>
      <c r="G154" s="54">
        <f t="shared" si="47"/>
        <v>0</v>
      </c>
      <c r="H154" s="459">
        <f t="shared" si="48"/>
        <v>0</v>
      </c>
      <c r="I154" s="446">
        <f t="shared" si="49"/>
        <v>0</v>
      </c>
      <c r="J154" s="53">
        <f t="shared" si="51"/>
        <v>0</v>
      </c>
      <c r="K154" s="53"/>
      <c r="L154" s="112"/>
      <c r="M154" s="53">
        <f t="shared" si="52"/>
        <v>0</v>
      </c>
      <c r="N154" s="112"/>
      <c r="O154" s="53">
        <f t="shared" si="53"/>
        <v>0</v>
      </c>
      <c r="P154" s="53">
        <f t="shared" si="54"/>
        <v>0</v>
      </c>
    </row>
    <row r="155" spans="2:16" ht="13.5" thickBot="1">
      <c r="B155" t="str">
        <f t="shared" si="28"/>
        <v/>
      </c>
      <c r="C155" s="58">
        <f>IF(D94="","-",+C154+1)</f>
        <v>2073</v>
      </c>
      <c r="D155" s="82">
        <f>IF(F154+SUM(E$100:E154)=D$93,F154,D$93-SUM(E$100:E154))</f>
        <v>0</v>
      </c>
      <c r="E155" s="389">
        <f t="shared" si="45"/>
        <v>0</v>
      </c>
      <c r="F155" s="59">
        <f t="shared" si="46"/>
        <v>0</v>
      </c>
      <c r="G155" s="59">
        <f t="shared" si="47"/>
        <v>0</v>
      </c>
      <c r="H155" s="459">
        <f t="shared" si="48"/>
        <v>0</v>
      </c>
      <c r="I155" s="443">
        <f t="shared" si="49"/>
        <v>0</v>
      </c>
      <c r="J155" s="63">
        <f t="shared" si="51"/>
        <v>0</v>
      </c>
      <c r="K155" s="53"/>
      <c r="L155" s="113"/>
      <c r="M155" s="63">
        <f t="shared" si="52"/>
        <v>0</v>
      </c>
      <c r="N155" s="113"/>
      <c r="O155" s="63">
        <f t="shared" si="53"/>
        <v>0</v>
      </c>
      <c r="P155" s="63">
        <f t="shared" si="54"/>
        <v>0</v>
      </c>
    </row>
    <row r="156" spans="2:16">
      <c r="C156" s="11" t="s">
        <v>75</v>
      </c>
      <c r="D156" s="242"/>
      <c r="E156" s="242">
        <f>SUM(E100:E155)</f>
        <v>8934664.389999995</v>
      </c>
      <c r="F156" s="242"/>
      <c r="G156" s="242"/>
      <c r="H156" s="242">
        <f>SUM(H100:H155)</f>
        <v>22913836.62166179</v>
      </c>
      <c r="I156" s="242">
        <f>SUM(I100:I155)</f>
        <v>22913836.62166179</v>
      </c>
      <c r="J156" s="242">
        <f>SUM(J100:J155)</f>
        <v>0</v>
      </c>
      <c r="K156" s="242"/>
      <c r="L156" s="242"/>
      <c r="M156" s="242"/>
      <c r="N156" s="242"/>
      <c r="O156" s="242"/>
      <c r="P156" s="1"/>
    </row>
    <row r="157" spans="2:16">
      <c r="C157" t="s">
        <v>90</v>
      </c>
      <c r="D157" s="2"/>
      <c r="E157" s="1"/>
      <c r="F157" s="1"/>
      <c r="G157" s="1"/>
      <c r="H157" s="1"/>
      <c r="I157" s="260"/>
      <c r="J157" s="260"/>
      <c r="K157" s="242"/>
      <c r="L157" s="260"/>
      <c r="M157" s="260"/>
      <c r="N157" s="260"/>
      <c r="O157" s="260"/>
      <c r="P157" s="1"/>
    </row>
    <row r="158" spans="2:16">
      <c r="C158" s="83"/>
      <c r="D158" s="2"/>
      <c r="E158" s="1"/>
      <c r="F158" s="1"/>
      <c r="G158" s="1"/>
      <c r="H158" s="1"/>
      <c r="I158" s="260"/>
      <c r="J158" s="260"/>
      <c r="K158" s="242"/>
      <c r="L158" s="260"/>
      <c r="M158" s="260"/>
      <c r="N158" s="260"/>
      <c r="O158" s="260"/>
      <c r="P158" s="1"/>
    </row>
    <row r="159" spans="2:16">
      <c r="C159" s="97" t="s">
        <v>130</v>
      </c>
      <c r="D159" s="2"/>
      <c r="E159" s="1"/>
      <c r="F159" s="1"/>
      <c r="G159" s="1"/>
      <c r="H159" s="1"/>
      <c r="I159" s="260"/>
      <c r="J159" s="260"/>
      <c r="K159" s="242"/>
      <c r="L159" s="260"/>
      <c r="M159" s="260"/>
      <c r="N159" s="260"/>
      <c r="O159" s="260"/>
      <c r="P159" s="1"/>
    </row>
    <row r="160" spans="2:16">
      <c r="C160" s="25" t="s">
        <v>76</v>
      </c>
      <c r="D160" s="11"/>
      <c r="E160" s="11"/>
      <c r="F160" s="11"/>
      <c r="G160" s="11"/>
      <c r="H160" s="242"/>
      <c r="I160" s="242"/>
      <c r="J160" s="64"/>
      <c r="K160" s="64"/>
      <c r="L160" s="64"/>
      <c r="M160" s="64"/>
      <c r="N160" s="64"/>
      <c r="O160" s="64"/>
      <c r="P160" s="1"/>
    </row>
    <row r="161" spans="3:16">
      <c r="C161" s="84" t="s">
        <v>77</v>
      </c>
      <c r="D161" s="11"/>
      <c r="E161" s="11"/>
      <c r="F161" s="11"/>
      <c r="G161" s="11"/>
      <c r="H161" s="242"/>
      <c r="I161" s="242"/>
      <c r="J161" s="64"/>
      <c r="K161" s="64"/>
      <c r="L161" s="64"/>
      <c r="M161" s="64"/>
      <c r="N161" s="64"/>
      <c r="O161" s="64"/>
      <c r="P161" s="1"/>
    </row>
    <row r="162" spans="3:16">
      <c r="C162" s="84"/>
      <c r="D162" s="11"/>
      <c r="E162" s="11"/>
      <c r="F162" s="11"/>
      <c r="G162" s="11"/>
      <c r="H162" s="242"/>
      <c r="I162" s="242"/>
      <c r="J162" s="64"/>
      <c r="K162" s="64"/>
      <c r="L162" s="64"/>
      <c r="M162" s="64"/>
      <c r="N162" s="64"/>
      <c r="O162" s="64"/>
      <c r="P162" s="1"/>
    </row>
    <row r="163" spans="3:16" ht="18">
      <c r="C163" s="84"/>
      <c r="D163" s="11"/>
      <c r="E163" s="11"/>
      <c r="F163" s="11"/>
      <c r="G163" s="11"/>
      <c r="H163" s="242"/>
      <c r="I163" s="242"/>
      <c r="J163" s="64"/>
      <c r="K163" s="64"/>
      <c r="L163" s="64"/>
      <c r="M163" s="64"/>
      <c r="N163" s="64"/>
      <c r="P163" s="95" t="s">
        <v>129</v>
      </c>
    </row>
  </sheetData>
  <conditionalFormatting sqref="C17:C73">
    <cfRule type="cellIs" dxfId="19" priority="1" stopIfTrue="1" operator="equal">
      <formula>$I$10</formula>
    </cfRule>
  </conditionalFormatting>
  <conditionalFormatting sqref="C100:C155">
    <cfRule type="cellIs" dxfId="18" priority="3" stopIfTrue="1" operator="equal">
      <formula>$J$93</formula>
    </cfRule>
  </conditionalFormatting>
  <pageMargins left="0.5" right="0.25" top="1" bottom="0.25" header="0.25" footer="0.5"/>
  <pageSetup scale="47" orientation="landscape" r:id="rId1"/>
  <headerFooter>
    <oddHeader xml:space="preserve">&amp;R&amp;16AEPTCo - SPP Formula Rate
&amp;A TCOS - Worksheets F and G
Section IV -- (BPU Project Tables)
Page: &amp;P of &amp;N&amp;10
</oddHeader>
    <oddFooter>&amp;L&amp;A</oddFooter>
  </headerFooter>
  <rowBreaks count="1" manualBreakCount="1">
    <brk id="81"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163"/>
  <sheetViews>
    <sheetView topLeftCell="A60" zoomScale="85" zoomScaleNormal="85" workbookViewId="0">
      <selection activeCell="D94" sqref="D94"/>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9.140625" customWidth="1"/>
    <col min="23" max="23" width="9.140625" customWidth="1"/>
  </cols>
  <sheetData>
    <row r="1" spans="1:16" ht="20.25">
      <c r="A1" s="93" t="s">
        <v>189</v>
      </c>
      <c r="B1" s="1"/>
      <c r="C1" s="1"/>
      <c r="D1" s="2"/>
      <c r="E1" s="1"/>
      <c r="F1" s="7"/>
      <c r="G1" s="1"/>
      <c r="H1" s="260"/>
      <c r="K1" s="12"/>
      <c r="L1" s="12"/>
      <c r="M1" s="12"/>
      <c r="P1" s="98" t="str">
        <f ca="1">"OKT Project "&amp;RIGHT(MID(CELL("filename",$A$1),FIND("]",CELL("filename",$A$1))+1,256),2)&amp;" of "&amp;COUNT('OKT.001:OKT.xyz - blank'!$P$3)-1</f>
        <v>OKT Project 19 of 26</v>
      </c>
    </row>
    <row r="2" spans="1:16" ht="18">
      <c r="B2" s="1"/>
      <c r="C2" s="1"/>
      <c r="D2" s="2"/>
      <c r="E2" s="1"/>
      <c r="F2" s="1"/>
      <c r="G2" s="1"/>
      <c r="H2" s="260"/>
      <c r="I2" s="1"/>
      <c r="J2" s="1"/>
      <c r="K2" s="1"/>
      <c r="L2" s="1"/>
      <c r="M2" s="1"/>
      <c r="N2" s="1"/>
      <c r="P2" s="99" t="s">
        <v>131</v>
      </c>
    </row>
    <row r="3" spans="1:16" ht="18.75">
      <c r="B3" s="4" t="s">
        <v>42</v>
      </c>
      <c r="C3" s="9" t="s">
        <v>43</v>
      </c>
      <c r="D3" s="2"/>
      <c r="E3" s="1"/>
      <c r="F3" s="1"/>
      <c r="G3" s="1"/>
      <c r="H3" s="260"/>
      <c r="I3" s="260"/>
      <c r="J3" s="242"/>
      <c r="K3" s="260"/>
      <c r="L3" s="260"/>
      <c r="M3" s="260"/>
      <c r="N3" s="260"/>
      <c r="O3" s="1"/>
      <c r="P3" s="91">
        <v>1</v>
      </c>
    </row>
    <row r="4" spans="1:16" ht="15.75" thickBot="1">
      <c r="C4" s="250"/>
      <c r="D4" s="2"/>
      <c r="E4" s="1"/>
      <c r="F4" s="1"/>
      <c r="G4" s="1"/>
      <c r="H4" s="260"/>
      <c r="I4" s="260"/>
      <c r="J4" s="242"/>
      <c r="K4" s="260"/>
      <c r="L4" s="260"/>
      <c r="M4" s="260"/>
      <c r="N4" s="260"/>
      <c r="O4" s="1"/>
      <c r="P4" s="1"/>
    </row>
    <row r="5" spans="1:16" ht="15">
      <c r="C5" s="14" t="s">
        <v>44</v>
      </c>
      <c r="D5" s="2"/>
      <c r="E5" s="1"/>
      <c r="F5" s="1"/>
      <c r="G5" s="349"/>
      <c r="H5" s="1" t="s">
        <v>45</v>
      </c>
      <c r="I5" s="1"/>
      <c r="J5" s="1"/>
      <c r="K5" s="16" t="s">
        <v>242</v>
      </c>
      <c r="L5" s="17"/>
      <c r="M5" s="18"/>
      <c r="N5" s="350">
        <f>VLOOKUP(I10,C17:I73,5)</f>
        <v>2181573.5812472668</v>
      </c>
      <c r="P5" s="1"/>
    </row>
    <row r="6" spans="1:16" ht="15.75">
      <c r="C6" s="6"/>
      <c r="D6" s="2"/>
      <c r="E6" s="1"/>
      <c r="F6" s="1"/>
      <c r="G6" s="1"/>
      <c r="H6" s="351"/>
      <c r="I6" s="351"/>
      <c r="J6" s="352"/>
      <c r="K6" s="22" t="s">
        <v>243</v>
      </c>
      <c r="L6" s="353"/>
      <c r="M6" s="1"/>
      <c r="N6" s="354">
        <f>VLOOKUP(I10,C17:I73,6)</f>
        <v>2181573.5812472668</v>
      </c>
      <c r="O6" s="1"/>
      <c r="P6" s="1"/>
    </row>
    <row r="7" spans="1:16" ht="13.5" thickBot="1">
      <c r="C7" s="25" t="s">
        <v>46</v>
      </c>
      <c r="D7" s="87" t="s">
        <v>270</v>
      </c>
      <c r="E7" s="1"/>
      <c r="F7" s="1"/>
      <c r="G7" s="1"/>
      <c r="H7" s="260"/>
      <c r="I7" s="260"/>
      <c r="J7" s="242"/>
      <c r="K7" s="355" t="s">
        <v>47</v>
      </c>
      <c r="L7" s="356"/>
      <c r="M7" s="356"/>
      <c r="N7" s="357">
        <f>+N6-N5</f>
        <v>0</v>
      </c>
      <c r="O7" s="1"/>
      <c r="P7" s="1"/>
    </row>
    <row r="8" spans="1:16" ht="13.5" thickBot="1">
      <c r="C8" s="29"/>
      <c r="D8" s="83"/>
      <c r="E8" s="10"/>
      <c r="F8" s="10"/>
      <c r="G8" s="10"/>
      <c r="H8" s="10"/>
      <c r="I8" s="10"/>
      <c r="J8" s="10"/>
      <c r="K8" s="10"/>
      <c r="L8" s="10"/>
      <c r="M8" s="10"/>
      <c r="N8" s="10"/>
      <c r="O8" s="10"/>
      <c r="P8" s="1"/>
    </row>
    <row r="9" spans="1:16" ht="13.5" thickBot="1">
      <c r="C9" s="30" t="s">
        <v>48</v>
      </c>
      <c r="D9" s="89" t="s">
        <v>269</v>
      </c>
      <c r="E9" s="31" t="s">
        <v>310</v>
      </c>
      <c r="F9" s="526">
        <v>31058</v>
      </c>
      <c r="G9" s="31"/>
      <c r="H9" s="31"/>
      <c r="I9" s="32"/>
      <c r="J9" s="33"/>
      <c r="P9" s="1"/>
    </row>
    <row r="10" spans="1:16">
      <c r="C10" s="34" t="s">
        <v>49</v>
      </c>
      <c r="D10" s="358">
        <v>17093290</v>
      </c>
      <c r="E10" s="1" t="s">
        <v>50</v>
      </c>
      <c r="G10" s="2"/>
      <c r="H10" s="2"/>
      <c r="I10" s="36">
        <f>+'OKT.WS.F.BPU.ATRR.Projected'!R100</f>
        <v>2025</v>
      </c>
      <c r="J10" s="33"/>
      <c r="K10" s="242" t="s">
        <v>51</v>
      </c>
      <c r="O10" s="1"/>
      <c r="P10" s="1"/>
    </row>
    <row r="11" spans="1:16">
      <c r="C11" s="34" t="s">
        <v>52</v>
      </c>
      <c r="D11" s="37">
        <v>2018</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8">
        <v>12</v>
      </c>
      <c r="E12" s="34" t="s">
        <v>55</v>
      </c>
      <c r="F12" s="2"/>
      <c r="I12" s="40">
        <f>'OKT.WS.F.BPU.ATRR.Projected'!$F$78</f>
        <v>0.11444992740144029</v>
      </c>
      <c r="J12" s="7"/>
      <c r="K12" t="s">
        <v>56</v>
      </c>
      <c r="O12" s="1"/>
      <c r="P12" s="1"/>
    </row>
    <row r="13" spans="1:16">
      <c r="C13" s="34" t="s">
        <v>57</v>
      </c>
      <c r="D13" s="38">
        <f>+'OKT.WS.F.BPU.ATRR.Projected'!F$89</f>
        <v>30</v>
      </c>
      <c r="E13" s="34" t="s">
        <v>58</v>
      </c>
      <c r="F13" s="2"/>
      <c r="I13" s="40">
        <f>IF(G5="",I12,'OKT.WS.F.BPU.ATRR.Projected'!$F$77)</f>
        <v>0.11444992740144029</v>
      </c>
      <c r="J13" s="7"/>
      <c r="K13" s="242" t="s">
        <v>59</v>
      </c>
      <c r="L13" s="7"/>
      <c r="M13" s="7"/>
      <c r="N13" s="7"/>
      <c r="O13" s="1"/>
      <c r="P13" s="1"/>
    </row>
    <row r="14" spans="1:16" ht="13.5" thickBot="1">
      <c r="C14" s="34" t="s">
        <v>60</v>
      </c>
      <c r="D14" s="37" t="s">
        <v>61</v>
      </c>
      <c r="E14" s="1" t="s">
        <v>62</v>
      </c>
      <c r="F14" s="2"/>
      <c r="I14" s="359">
        <f>IF(D10=0,0,D10/D13)</f>
        <v>569776.33333333337</v>
      </c>
      <c r="J14" s="242"/>
      <c r="K14" s="242"/>
      <c r="L14" s="242"/>
      <c r="M14" s="242"/>
      <c r="N14" s="242"/>
      <c r="O14" s="1"/>
      <c r="P14" s="1"/>
    </row>
    <row r="15" spans="1:16"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row>
    <row r="16" spans="1:16"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row>
    <row r="17" spans="2:16">
      <c r="B17" t="str">
        <f t="shared" ref="B17:B71" si="0">IF(D17=F16,"","IU")</f>
        <v>IU</v>
      </c>
      <c r="C17" s="49">
        <f>IF(D11= "","-",D11)</f>
        <v>2018</v>
      </c>
      <c r="D17" s="455">
        <v>0</v>
      </c>
      <c r="E17" s="456">
        <v>0</v>
      </c>
      <c r="F17" s="457">
        <v>8591402</v>
      </c>
      <c r="G17" s="456">
        <v>472269.24918780552</v>
      </c>
      <c r="H17" s="458">
        <v>472269.24918780552</v>
      </c>
      <c r="I17" s="51">
        <f t="shared" ref="I17:I71" si="1">H17-G17</f>
        <v>0</v>
      </c>
      <c r="J17" s="51"/>
      <c r="K17" s="114">
        <f t="shared" ref="K17:K22" si="2">+G17</f>
        <v>472269.24918780552</v>
      </c>
      <c r="L17" s="52">
        <f t="shared" ref="L17:L71" si="3">IF(K17&lt;&gt;0,+G17-K17,0)</f>
        <v>0</v>
      </c>
      <c r="M17" s="114">
        <f t="shared" ref="M17:M22" si="4">+H17</f>
        <v>472269.24918780552</v>
      </c>
      <c r="N17" s="52">
        <f t="shared" ref="N17:N71" si="5">IF(M17&lt;&gt;0,+H17-M17,0)</f>
        <v>0</v>
      </c>
      <c r="O17" s="53">
        <f t="shared" ref="O17:O71" si="6">+N17-L17</f>
        <v>0</v>
      </c>
      <c r="P17" s="1"/>
    </row>
    <row r="18" spans="2:16">
      <c r="B18" t="str">
        <f t="shared" si="0"/>
        <v/>
      </c>
      <c r="C18" s="49">
        <f>IF(D11="","-",+C17+1)</f>
        <v>2019</v>
      </c>
      <c r="D18" s="457">
        <v>8591402</v>
      </c>
      <c r="E18" s="460">
        <v>254811.07676479843</v>
      </c>
      <c r="F18" s="457">
        <v>8336590.9232352013</v>
      </c>
      <c r="G18" s="460">
        <v>1134524.7126540036</v>
      </c>
      <c r="H18" s="461">
        <v>1134524.7126540036</v>
      </c>
      <c r="I18" s="51">
        <f t="shared" si="1"/>
        <v>0</v>
      </c>
      <c r="J18" s="51"/>
      <c r="K18" s="419">
        <f t="shared" si="2"/>
        <v>1134524.7126540036</v>
      </c>
      <c r="L18" s="422">
        <f t="shared" si="3"/>
        <v>0</v>
      </c>
      <c r="M18" s="419">
        <f t="shared" si="4"/>
        <v>1134524.7126540036</v>
      </c>
      <c r="N18" s="53">
        <f t="shared" si="5"/>
        <v>0</v>
      </c>
      <c r="O18" s="53">
        <f t="shared" si="6"/>
        <v>0</v>
      </c>
      <c r="P18" s="1"/>
    </row>
    <row r="19" spans="2:16">
      <c r="B19" t="str">
        <f t="shared" si="0"/>
        <v>IU</v>
      </c>
      <c r="C19" s="49">
        <f>IF(D11="","-",+C18+1)</f>
        <v>2020</v>
      </c>
      <c r="D19" s="457">
        <v>15412336.915406611</v>
      </c>
      <c r="E19" s="460">
        <v>463640.04013383167</v>
      </c>
      <c r="F19" s="457">
        <v>14948696.875272779</v>
      </c>
      <c r="G19" s="460">
        <v>2056569.1179354885</v>
      </c>
      <c r="H19" s="461">
        <v>2056569.1179354885</v>
      </c>
      <c r="I19" s="51">
        <f t="shared" si="1"/>
        <v>0</v>
      </c>
      <c r="J19" s="51"/>
      <c r="K19" s="419">
        <f t="shared" si="2"/>
        <v>2056569.1179354885</v>
      </c>
      <c r="L19" s="422">
        <f t="shared" ref="L19" si="7">IF(K19&lt;&gt;0,+G19-K19,0)</f>
        <v>0</v>
      </c>
      <c r="M19" s="419">
        <f t="shared" si="4"/>
        <v>2056569.1179354885</v>
      </c>
      <c r="N19" s="53">
        <f t="shared" si="5"/>
        <v>0</v>
      </c>
      <c r="O19" s="53">
        <f t="shared" si="6"/>
        <v>0</v>
      </c>
      <c r="P19" s="1"/>
    </row>
    <row r="20" spans="2:16">
      <c r="B20" t="str">
        <f t="shared" si="0"/>
        <v>IU</v>
      </c>
      <c r="C20" s="49">
        <f>IF(D11="","-",+C19+1)</f>
        <v>2021</v>
      </c>
      <c r="D20" s="457">
        <v>15187426.611313635</v>
      </c>
      <c r="E20" s="460">
        <v>386188.73170731706</v>
      </c>
      <c r="F20" s="457">
        <v>14801237.879606318</v>
      </c>
      <c r="G20" s="460">
        <v>2147888.2260048082</v>
      </c>
      <c r="H20" s="461">
        <v>2147888.2260048082</v>
      </c>
      <c r="I20" s="51">
        <f t="shared" si="1"/>
        <v>0</v>
      </c>
      <c r="J20" s="51"/>
      <c r="K20" s="419">
        <f t="shared" si="2"/>
        <v>2147888.2260048082</v>
      </c>
      <c r="L20" s="422">
        <f t="shared" ref="L20" si="8">IF(K20&lt;&gt;0,+G20-K20,0)</f>
        <v>0</v>
      </c>
      <c r="M20" s="419">
        <f t="shared" si="4"/>
        <v>2147888.2260048082</v>
      </c>
      <c r="N20" s="53">
        <f t="shared" si="5"/>
        <v>0</v>
      </c>
      <c r="O20" s="53">
        <f t="shared" si="6"/>
        <v>0</v>
      </c>
      <c r="P20" s="1"/>
    </row>
    <row r="21" spans="2:16">
      <c r="B21" t="str">
        <f t="shared" si="0"/>
        <v>IU</v>
      </c>
      <c r="C21" s="49">
        <f>IF(D11="","-",+C20+1)</f>
        <v>2022</v>
      </c>
      <c r="D21" s="457">
        <v>15988651.151394052</v>
      </c>
      <c r="E21" s="460">
        <v>517978.51515151514</v>
      </c>
      <c r="F21" s="457">
        <v>15470672.636242537</v>
      </c>
      <c r="G21" s="460">
        <v>2323095.2279110318</v>
      </c>
      <c r="H21" s="461">
        <v>2323095.2279110318</v>
      </c>
      <c r="I21" s="51">
        <f t="shared" si="1"/>
        <v>0</v>
      </c>
      <c r="J21" s="51"/>
      <c r="K21" s="419">
        <f t="shared" si="2"/>
        <v>2323095.2279110318</v>
      </c>
      <c r="L21" s="422">
        <f t="shared" ref="L21" si="9">IF(K21&lt;&gt;0,+G21-K21,0)</f>
        <v>0</v>
      </c>
      <c r="M21" s="419">
        <f t="shared" si="4"/>
        <v>2323095.2279110318</v>
      </c>
      <c r="N21" s="53">
        <f t="shared" si="5"/>
        <v>0</v>
      </c>
      <c r="O21" s="53">
        <f t="shared" si="6"/>
        <v>0</v>
      </c>
      <c r="P21" s="1"/>
    </row>
    <row r="22" spans="2:16">
      <c r="B22" t="str">
        <f t="shared" si="0"/>
        <v>IU</v>
      </c>
      <c r="C22" s="49">
        <f>IF(D11="","-",+C21+1)</f>
        <v>2023</v>
      </c>
      <c r="D22" s="457">
        <v>15470671.636242539</v>
      </c>
      <c r="E22" s="460">
        <v>551396.45161290327</v>
      </c>
      <c r="F22" s="457">
        <v>14919275.184629636</v>
      </c>
      <c r="G22" s="460">
        <v>2268927.6783923553</v>
      </c>
      <c r="H22" s="461">
        <v>2268927.6783923553</v>
      </c>
      <c r="I22" s="51">
        <f t="shared" si="1"/>
        <v>0</v>
      </c>
      <c r="J22" s="51"/>
      <c r="K22" s="419">
        <f t="shared" si="2"/>
        <v>2268927.6783923553</v>
      </c>
      <c r="L22" s="422">
        <f t="shared" ref="L22" si="10">IF(K22&lt;&gt;0,+G22-K22,0)</f>
        <v>0</v>
      </c>
      <c r="M22" s="419">
        <f t="shared" si="4"/>
        <v>2268927.6783923553</v>
      </c>
      <c r="N22" s="53">
        <f t="shared" si="5"/>
        <v>0</v>
      </c>
      <c r="O22" s="53">
        <f t="shared" si="6"/>
        <v>0</v>
      </c>
      <c r="P22" s="1"/>
    </row>
    <row r="23" spans="2:16">
      <c r="B23" t="str">
        <f t="shared" si="0"/>
        <v/>
      </c>
      <c r="C23" s="49">
        <f>IF(D11="","-",+C22+1)</f>
        <v>2024</v>
      </c>
      <c r="D23" s="457">
        <v>14919275.184629636</v>
      </c>
      <c r="E23" s="460">
        <v>551396.45161290327</v>
      </c>
      <c r="F23" s="457">
        <v>14367878.733016733</v>
      </c>
      <c r="G23" s="460">
        <v>2219763.0897265626</v>
      </c>
      <c r="H23" s="461">
        <v>2219763.0897265626</v>
      </c>
      <c r="I23" s="51">
        <f t="shared" si="1"/>
        <v>0</v>
      </c>
      <c r="J23" s="51"/>
      <c r="K23" s="419">
        <f t="shared" ref="K23" si="11">+G23</f>
        <v>2219763.0897265626</v>
      </c>
      <c r="L23" s="422">
        <f t="shared" ref="L23" si="12">IF(K23&lt;&gt;0,+G23-K23,0)</f>
        <v>0</v>
      </c>
      <c r="M23" s="419">
        <f t="shared" ref="M23" si="13">+H23</f>
        <v>2219763.0897265626</v>
      </c>
      <c r="N23" s="53">
        <f t="shared" ref="N23" si="14">IF(M23&lt;&gt;0,+H23-M23,0)</f>
        <v>0</v>
      </c>
      <c r="O23" s="53">
        <f t="shared" ref="O23" si="15">+N23-L23</f>
        <v>0</v>
      </c>
      <c r="P23" s="1"/>
    </row>
    <row r="24" spans="2:16">
      <c r="B24" t="str">
        <f t="shared" si="0"/>
        <v/>
      </c>
      <c r="C24" s="49">
        <f>IF(D11="","-",+C23+1)</f>
        <v>2025</v>
      </c>
      <c r="D24" s="457">
        <v>14367878.733016733</v>
      </c>
      <c r="E24" s="460">
        <v>569776.33333333337</v>
      </c>
      <c r="F24" s="457">
        <v>13798102.399683399</v>
      </c>
      <c r="G24" s="460">
        <v>2181573.5812472668</v>
      </c>
      <c r="H24" s="461">
        <v>2181573.5812472668</v>
      </c>
      <c r="I24" s="51">
        <f t="shared" si="1"/>
        <v>0</v>
      </c>
      <c r="J24" s="51"/>
      <c r="K24" s="419">
        <f t="shared" ref="K24" si="16">+G24</f>
        <v>2181573.5812472668</v>
      </c>
      <c r="L24" s="422">
        <f t="shared" ref="L24" si="17">IF(K24&lt;&gt;0,+G24-K24,0)</f>
        <v>0</v>
      </c>
      <c r="M24" s="419">
        <f t="shared" ref="M24" si="18">+H24</f>
        <v>2181573.5812472668</v>
      </c>
      <c r="N24" s="53">
        <f t="shared" ref="N24" si="19">IF(M24&lt;&gt;0,+H24-M24,0)</f>
        <v>0</v>
      </c>
      <c r="O24" s="53">
        <f t="shared" ref="O24" si="20">+N24-L24</f>
        <v>0</v>
      </c>
      <c r="P24" s="1"/>
    </row>
    <row r="25" spans="2:16">
      <c r="B25" t="str">
        <f t="shared" si="0"/>
        <v/>
      </c>
      <c r="C25" s="49">
        <f>IF(D11="","-",+C24+1)</f>
        <v>2026</v>
      </c>
      <c r="D25" s="54">
        <f>IF(F24+SUM(E$17:E24)=D$10,F24,D$10-SUM(E$17:E24))</f>
        <v>13798102.399683399</v>
      </c>
      <c r="E25" s="377">
        <f t="shared" ref="E25:E71" si="21">IF(+I$14&lt;F24,I$14,D25)</f>
        <v>569776.33333333337</v>
      </c>
      <c r="F25" s="54">
        <f t="shared" ref="F25:F71" si="22">+D25-E25</f>
        <v>13228326.066350065</v>
      </c>
      <c r="G25" s="378">
        <f t="shared" ref="G25:G71" si="23">(D25+F25)/2*I$12+E25</f>
        <v>2116362.7212622082</v>
      </c>
      <c r="H25" s="359">
        <f t="shared" ref="H25:H71" si="24">+(D25+F25)/2*I$13+E25</f>
        <v>2116362.7212622082</v>
      </c>
      <c r="I25" s="51">
        <f t="shared" si="1"/>
        <v>0</v>
      </c>
      <c r="J25" s="51"/>
      <c r="K25" s="112"/>
      <c r="L25" s="53">
        <f t="shared" si="3"/>
        <v>0</v>
      </c>
      <c r="M25" s="112"/>
      <c r="N25" s="53">
        <f t="shared" si="5"/>
        <v>0</v>
      </c>
      <c r="O25" s="53">
        <f t="shared" si="6"/>
        <v>0</v>
      </c>
      <c r="P25" s="1"/>
    </row>
    <row r="26" spans="2:16">
      <c r="B26" t="str">
        <f t="shared" si="0"/>
        <v/>
      </c>
      <c r="C26" s="49">
        <f>IF(D11="","-",+C25+1)</f>
        <v>2027</v>
      </c>
      <c r="D26" s="54">
        <f>IF(F25+SUM(E$17:E25)=D$10,F25,D$10-SUM(E$17:E25))</f>
        <v>13228326.066350065</v>
      </c>
      <c r="E26" s="377">
        <f t="shared" si="21"/>
        <v>569776.33333333337</v>
      </c>
      <c r="F26" s="54">
        <f t="shared" si="22"/>
        <v>12658549.733016731</v>
      </c>
      <c r="G26" s="378">
        <f t="shared" si="23"/>
        <v>2051151.8612771491</v>
      </c>
      <c r="H26" s="359">
        <f t="shared" si="24"/>
        <v>2051151.8612771491</v>
      </c>
      <c r="I26" s="51">
        <f t="shared" si="1"/>
        <v>0</v>
      </c>
      <c r="J26" s="51"/>
      <c r="K26" s="112"/>
      <c r="L26" s="53">
        <f t="shared" si="3"/>
        <v>0</v>
      </c>
      <c r="M26" s="112"/>
      <c r="N26" s="53">
        <f t="shared" si="5"/>
        <v>0</v>
      </c>
      <c r="O26" s="53">
        <f t="shared" si="6"/>
        <v>0</v>
      </c>
      <c r="P26" s="1"/>
    </row>
    <row r="27" spans="2:16">
      <c r="B27" t="str">
        <f t="shared" si="0"/>
        <v/>
      </c>
      <c r="C27" s="49">
        <f>IF(D11="","-",+C26+1)</f>
        <v>2028</v>
      </c>
      <c r="D27" s="54">
        <f>IF(F26+SUM(E$17:E26)=D$10,F26,D$10-SUM(E$17:E26))</f>
        <v>12658549.733016731</v>
      </c>
      <c r="E27" s="377">
        <f t="shared" si="21"/>
        <v>569776.33333333337</v>
      </c>
      <c r="F27" s="54">
        <f t="shared" si="22"/>
        <v>12088773.399683397</v>
      </c>
      <c r="G27" s="378">
        <f t="shared" si="23"/>
        <v>1985941.0012920904</v>
      </c>
      <c r="H27" s="359">
        <f t="shared" si="24"/>
        <v>1985941.0012920904</v>
      </c>
      <c r="I27" s="51">
        <f t="shared" si="1"/>
        <v>0</v>
      </c>
      <c r="J27" s="51"/>
      <c r="K27" s="112"/>
      <c r="L27" s="53">
        <f t="shared" si="3"/>
        <v>0</v>
      </c>
      <c r="M27" s="112"/>
      <c r="N27" s="53">
        <f t="shared" si="5"/>
        <v>0</v>
      </c>
      <c r="O27" s="53">
        <f t="shared" si="6"/>
        <v>0</v>
      </c>
      <c r="P27" s="1"/>
    </row>
    <row r="28" spans="2:16">
      <c r="B28" t="str">
        <f t="shared" si="0"/>
        <v/>
      </c>
      <c r="C28" s="49">
        <f>IF(D11="","-",+C27+1)</f>
        <v>2029</v>
      </c>
      <c r="D28" s="54">
        <f>IF(F27+SUM(E$17:E27)=D$10,F27,D$10-SUM(E$17:E27))</f>
        <v>12088773.399683397</v>
      </c>
      <c r="E28" s="377">
        <f t="shared" si="21"/>
        <v>569776.33333333337</v>
      </c>
      <c r="F28" s="54">
        <f t="shared" si="22"/>
        <v>11518997.066350063</v>
      </c>
      <c r="G28" s="378">
        <f t="shared" si="23"/>
        <v>1920730.1413070313</v>
      </c>
      <c r="H28" s="359">
        <f t="shared" si="24"/>
        <v>1920730.1413070313</v>
      </c>
      <c r="I28" s="51">
        <f t="shared" si="1"/>
        <v>0</v>
      </c>
      <c r="J28" s="51"/>
      <c r="K28" s="112"/>
      <c r="L28" s="53">
        <f t="shared" si="3"/>
        <v>0</v>
      </c>
      <c r="M28" s="112"/>
      <c r="N28" s="53">
        <f t="shared" si="5"/>
        <v>0</v>
      </c>
      <c r="O28" s="53">
        <f t="shared" si="6"/>
        <v>0</v>
      </c>
      <c r="P28" s="1"/>
    </row>
    <row r="29" spans="2:16">
      <c r="B29" t="str">
        <f t="shared" si="0"/>
        <v/>
      </c>
      <c r="C29" s="49">
        <f>IF(D11="","-",+C28+1)</f>
        <v>2030</v>
      </c>
      <c r="D29" s="54">
        <f>IF(F28+SUM(E$17:E28)=D$10,F28,D$10-SUM(E$17:E28))</f>
        <v>11518997.066350063</v>
      </c>
      <c r="E29" s="377">
        <f t="shared" si="21"/>
        <v>569776.33333333337</v>
      </c>
      <c r="F29" s="54">
        <f t="shared" si="22"/>
        <v>10949220.733016729</v>
      </c>
      <c r="G29" s="378">
        <f t="shared" si="23"/>
        <v>1855519.2813219726</v>
      </c>
      <c r="H29" s="359">
        <f t="shared" si="24"/>
        <v>1855519.2813219726</v>
      </c>
      <c r="I29" s="51">
        <f t="shared" si="1"/>
        <v>0</v>
      </c>
      <c r="J29" s="51"/>
      <c r="K29" s="112"/>
      <c r="L29" s="53">
        <f t="shared" si="3"/>
        <v>0</v>
      </c>
      <c r="M29" s="112"/>
      <c r="N29" s="53">
        <f t="shared" si="5"/>
        <v>0</v>
      </c>
      <c r="O29" s="53">
        <f t="shared" si="6"/>
        <v>0</v>
      </c>
      <c r="P29" s="1"/>
    </row>
    <row r="30" spans="2:16">
      <c r="B30" t="str">
        <f t="shared" si="0"/>
        <v/>
      </c>
      <c r="C30" s="49">
        <f>IF(D11="","-",+C29+1)</f>
        <v>2031</v>
      </c>
      <c r="D30" s="54">
        <f>IF(F29+SUM(E$17:E29)=D$10,F29,D$10-SUM(E$17:E29))</f>
        <v>10949220.733016729</v>
      </c>
      <c r="E30" s="377">
        <f t="shared" si="21"/>
        <v>569776.33333333337</v>
      </c>
      <c r="F30" s="54">
        <f t="shared" si="22"/>
        <v>10379444.399683395</v>
      </c>
      <c r="G30" s="378">
        <f t="shared" si="23"/>
        <v>1790308.4213369135</v>
      </c>
      <c r="H30" s="359">
        <f t="shared" si="24"/>
        <v>1790308.4213369135</v>
      </c>
      <c r="I30" s="51">
        <f t="shared" si="1"/>
        <v>0</v>
      </c>
      <c r="J30" s="51"/>
      <c r="K30" s="112"/>
      <c r="L30" s="53">
        <f t="shared" si="3"/>
        <v>0</v>
      </c>
      <c r="M30" s="112"/>
      <c r="N30" s="53">
        <f t="shared" si="5"/>
        <v>0</v>
      </c>
      <c r="O30" s="53">
        <f t="shared" si="6"/>
        <v>0</v>
      </c>
      <c r="P30" s="1"/>
    </row>
    <row r="31" spans="2:16">
      <c r="B31" t="str">
        <f t="shared" si="0"/>
        <v/>
      </c>
      <c r="C31" s="49">
        <f>IF(D11="","-",+C30+1)</f>
        <v>2032</v>
      </c>
      <c r="D31" s="54">
        <f>IF(F30+SUM(E$17:E30)=D$10,F30,D$10-SUM(E$17:E30))</f>
        <v>10379444.399683395</v>
      </c>
      <c r="E31" s="377">
        <f t="shared" si="21"/>
        <v>569776.33333333337</v>
      </c>
      <c r="F31" s="54">
        <f t="shared" si="22"/>
        <v>9809668.0663500614</v>
      </c>
      <c r="G31" s="378">
        <f t="shared" si="23"/>
        <v>1725097.5613518548</v>
      </c>
      <c r="H31" s="359">
        <f t="shared" si="24"/>
        <v>1725097.5613518548</v>
      </c>
      <c r="I31" s="51">
        <f t="shared" si="1"/>
        <v>0</v>
      </c>
      <c r="J31" s="51"/>
      <c r="K31" s="112"/>
      <c r="L31" s="53">
        <f t="shared" si="3"/>
        <v>0</v>
      </c>
      <c r="M31" s="112"/>
      <c r="N31" s="53">
        <f t="shared" si="5"/>
        <v>0</v>
      </c>
      <c r="O31" s="53">
        <f t="shared" si="6"/>
        <v>0</v>
      </c>
      <c r="P31" s="1"/>
    </row>
    <row r="32" spans="2:16">
      <c r="B32" t="str">
        <f t="shared" si="0"/>
        <v/>
      </c>
      <c r="C32" s="49">
        <f>IF(D11="","-",+C31+1)</f>
        <v>2033</v>
      </c>
      <c r="D32" s="54">
        <f>IF(F31+SUM(E$17:E31)=D$10,F31,D$10-SUM(E$17:E31))</f>
        <v>9809668.0663500614</v>
      </c>
      <c r="E32" s="377">
        <f t="shared" si="21"/>
        <v>569776.33333333337</v>
      </c>
      <c r="F32" s="54">
        <f t="shared" si="22"/>
        <v>9239891.7330167275</v>
      </c>
      <c r="G32" s="378">
        <f t="shared" si="23"/>
        <v>1659886.7013667957</v>
      </c>
      <c r="H32" s="359">
        <f t="shared" si="24"/>
        <v>1659886.7013667957</v>
      </c>
      <c r="I32" s="51">
        <f t="shared" si="1"/>
        <v>0</v>
      </c>
      <c r="J32" s="51"/>
      <c r="K32" s="112"/>
      <c r="L32" s="53">
        <f t="shared" si="3"/>
        <v>0</v>
      </c>
      <c r="M32" s="112"/>
      <c r="N32" s="53">
        <f t="shared" si="5"/>
        <v>0</v>
      </c>
      <c r="O32" s="53">
        <f t="shared" si="6"/>
        <v>0</v>
      </c>
      <c r="P32" s="1"/>
    </row>
    <row r="33" spans="2:16">
      <c r="B33" t="str">
        <f t="shared" si="0"/>
        <v/>
      </c>
      <c r="C33" s="49">
        <f>IF(D11="","-",+C32+1)</f>
        <v>2034</v>
      </c>
      <c r="D33" s="54">
        <f>IF(F32+SUM(E$17:E32)=D$10,F32,D$10-SUM(E$17:E32))</f>
        <v>9239891.7330167275</v>
      </c>
      <c r="E33" s="377">
        <f t="shared" si="21"/>
        <v>569776.33333333337</v>
      </c>
      <c r="F33" s="54">
        <f t="shared" si="22"/>
        <v>8670115.3996833935</v>
      </c>
      <c r="G33" s="378">
        <f t="shared" si="23"/>
        <v>1594675.8413817368</v>
      </c>
      <c r="H33" s="359">
        <f t="shared" si="24"/>
        <v>1594675.8413817368</v>
      </c>
      <c r="I33" s="51">
        <f t="shared" si="1"/>
        <v>0</v>
      </c>
      <c r="J33" s="51"/>
      <c r="K33" s="112"/>
      <c r="L33" s="53">
        <f t="shared" si="3"/>
        <v>0</v>
      </c>
      <c r="M33" s="112"/>
      <c r="N33" s="53">
        <f t="shared" si="5"/>
        <v>0</v>
      </c>
      <c r="O33" s="53">
        <f t="shared" si="6"/>
        <v>0</v>
      </c>
      <c r="P33" s="1"/>
    </row>
    <row r="34" spans="2:16">
      <c r="B34" t="str">
        <f t="shared" si="0"/>
        <v/>
      </c>
      <c r="C34" s="49">
        <f>IF(D11="","-",+C33+1)</f>
        <v>2035</v>
      </c>
      <c r="D34" s="54">
        <f>IF(F33+SUM(E$17:E33)=D$10,F33,D$10-SUM(E$17:E33))</f>
        <v>8670115.3996833935</v>
      </c>
      <c r="E34" s="377">
        <f t="shared" si="21"/>
        <v>569776.33333333337</v>
      </c>
      <c r="F34" s="54">
        <f t="shared" si="22"/>
        <v>8100339.0663500605</v>
      </c>
      <c r="G34" s="378">
        <f t="shared" si="23"/>
        <v>1529464.9813966779</v>
      </c>
      <c r="H34" s="359">
        <f t="shared" si="24"/>
        <v>1529464.9813966779</v>
      </c>
      <c r="I34" s="51">
        <f t="shared" si="1"/>
        <v>0</v>
      </c>
      <c r="J34" s="51"/>
      <c r="K34" s="112"/>
      <c r="L34" s="53">
        <f t="shared" si="3"/>
        <v>0</v>
      </c>
      <c r="M34" s="112"/>
      <c r="N34" s="53">
        <f t="shared" si="5"/>
        <v>0</v>
      </c>
      <c r="O34" s="53">
        <f t="shared" si="6"/>
        <v>0</v>
      </c>
      <c r="P34" s="1"/>
    </row>
    <row r="35" spans="2:16">
      <c r="B35" t="str">
        <f t="shared" si="0"/>
        <v/>
      </c>
      <c r="C35" s="49">
        <f>IF(D11="","-",+C34+1)</f>
        <v>2036</v>
      </c>
      <c r="D35" s="54">
        <f>IF(F34+SUM(E$17:E34)=D$10,F34,D$10-SUM(E$17:E34))</f>
        <v>8100339.0663500605</v>
      </c>
      <c r="E35" s="377">
        <f t="shared" si="21"/>
        <v>569776.33333333337</v>
      </c>
      <c r="F35" s="54">
        <f t="shared" si="22"/>
        <v>7530562.7330167275</v>
      </c>
      <c r="G35" s="378">
        <f t="shared" si="23"/>
        <v>1464254.121411619</v>
      </c>
      <c r="H35" s="359">
        <f t="shared" si="24"/>
        <v>1464254.121411619</v>
      </c>
      <c r="I35" s="51">
        <f t="shared" si="1"/>
        <v>0</v>
      </c>
      <c r="J35" s="51"/>
      <c r="K35" s="112"/>
      <c r="L35" s="53">
        <f t="shared" si="3"/>
        <v>0</v>
      </c>
      <c r="M35" s="112"/>
      <c r="N35" s="53">
        <f t="shared" si="5"/>
        <v>0</v>
      </c>
      <c r="O35" s="53">
        <f t="shared" si="6"/>
        <v>0</v>
      </c>
      <c r="P35" s="1"/>
    </row>
    <row r="36" spans="2:16">
      <c r="B36" t="str">
        <f t="shared" si="0"/>
        <v/>
      </c>
      <c r="C36" s="49">
        <f>IF(D11="","-",+C35+1)</f>
        <v>2037</v>
      </c>
      <c r="D36" s="54">
        <f>IF(F35+SUM(E$17:E35)=D$10,F35,D$10-SUM(E$17:E35))</f>
        <v>7530562.7330167275</v>
      </c>
      <c r="E36" s="377">
        <f t="shared" si="21"/>
        <v>569776.33333333337</v>
      </c>
      <c r="F36" s="54">
        <f t="shared" si="22"/>
        <v>6960786.3996833945</v>
      </c>
      <c r="G36" s="378">
        <f t="shared" si="23"/>
        <v>1399043.2614265601</v>
      </c>
      <c r="H36" s="359">
        <f t="shared" si="24"/>
        <v>1399043.2614265601</v>
      </c>
      <c r="I36" s="51">
        <f t="shared" si="1"/>
        <v>0</v>
      </c>
      <c r="J36" s="51"/>
      <c r="K36" s="112"/>
      <c r="L36" s="53">
        <f t="shared" si="3"/>
        <v>0</v>
      </c>
      <c r="M36" s="112"/>
      <c r="N36" s="53">
        <f t="shared" si="5"/>
        <v>0</v>
      </c>
      <c r="O36" s="53">
        <f t="shared" si="6"/>
        <v>0</v>
      </c>
      <c r="P36" s="1"/>
    </row>
    <row r="37" spans="2:16">
      <c r="B37" t="str">
        <f t="shared" si="0"/>
        <v/>
      </c>
      <c r="C37" s="49">
        <f>IF(D11="","-",+C36+1)</f>
        <v>2038</v>
      </c>
      <c r="D37" s="54">
        <f>IF(F36+SUM(E$17:E36)=D$10,F36,D$10-SUM(E$17:E36))</f>
        <v>6960786.3996833945</v>
      </c>
      <c r="E37" s="377">
        <f t="shared" si="21"/>
        <v>569776.33333333337</v>
      </c>
      <c r="F37" s="54">
        <f t="shared" si="22"/>
        <v>6391010.0663500614</v>
      </c>
      <c r="G37" s="378">
        <f t="shared" si="23"/>
        <v>1333832.4014415015</v>
      </c>
      <c r="H37" s="359">
        <f t="shared" si="24"/>
        <v>1333832.4014415015</v>
      </c>
      <c r="I37" s="51">
        <f t="shared" si="1"/>
        <v>0</v>
      </c>
      <c r="J37" s="51"/>
      <c r="K37" s="112"/>
      <c r="L37" s="53">
        <f t="shared" si="3"/>
        <v>0</v>
      </c>
      <c r="M37" s="112"/>
      <c r="N37" s="53">
        <f t="shared" si="5"/>
        <v>0</v>
      </c>
      <c r="O37" s="53">
        <f t="shared" si="6"/>
        <v>0</v>
      </c>
      <c r="P37" s="1"/>
    </row>
    <row r="38" spans="2:16">
      <c r="B38" t="str">
        <f t="shared" si="0"/>
        <v/>
      </c>
      <c r="C38" s="49">
        <f>IF(D11="","-",+C37+1)</f>
        <v>2039</v>
      </c>
      <c r="D38" s="54">
        <f>IF(F37+SUM(E$17:E37)=D$10,F37,D$10-SUM(E$17:E37))</f>
        <v>6391010.0663500614</v>
      </c>
      <c r="E38" s="377">
        <f t="shared" si="21"/>
        <v>569776.33333333337</v>
      </c>
      <c r="F38" s="54">
        <f t="shared" si="22"/>
        <v>5821233.7330167284</v>
      </c>
      <c r="G38" s="378">
        <f t="shared" si="23"/>
        <v>1268621.5414564428</v>
      </c>
      <c r="H38" s="359">
        <f t="shared" si="24"/>
        <v>1268621.5414564428</v>
      </c>
      <c r="I38" s="51">
        <f t="shared" si="1"/>
        <v>0</v>
      </c>
      <c r="J38" s="51"/>
      <c r="K38" s="112"/>
      <c r="L38" s="53">
        <f t="shared" si="3"/>
        <v>0</v>
      </c>
      <c r="M38" s="112"/>
      <c r="N38" s="53">
        <f t="shared" si="5"/>
        <v>0</v>
      </c>
      <c r="O38" s="53">
        <f t="shared" si="6"/>
        <v>0</v>
      </c>
      <c r="P38" s="1"/>
    </row>
    <row r="39" spans="2:16">
      <c r="B39" t="str">
        <f t="shared" si="0"/>
        <v/>
      </c>
      <c r="C39" s="49">
        <f>IF(D11="","-",+C38+1)</f>
        <v>2040</v>
      </c>
      <c r="D39" s="54">
        <f>IF(F38+SUM(E$17:E38)=D$10,F38,D$10-SUM(E$17:E38))</f>
        <v>5821233.7330167284</v>
      </c>
      <c r="E39" s="377">
        <f t="shared" si="21"/>
        <v>569776.33333333337</v>
      </c>
      <c r="F39" s="54">
        <f t="shared" si="22"/>
        <v>5251457.3996833954</v>
      </c>
      <c r="G39" s="378">
        <f t="shared" si="23"/>
        <v>1203410.6814713837</v>
      </c>
      <c r="H39" s="359">
        <f t="shared" si="24"/>
        <v>1203410.6814713837</v>
      </c>
      <c r="I39" s="51">
        <f t="shared" si="1"/>
        <v>0</v>
      </c>
      <c r="J39" s="51"/>
      <c r="K39" s="112"/>
      <c r="L39" s="53">
        <f t="shared" si="3"/>
        <v>0</v>
      </c>
      <c r="M39" s="112"/>
      <c r="N39" s="53">
        <f t="shared" si="5"/>
        <v>0</v>
      </c>
      <c r="O39" s="53">
        <f t="shared" si="6"/>
        <v>0</v>
      </c>
      <c r="P39" s="1"/>
    </row>
    <row r="40" spans="2:16">
      <c r="B40" t="str">
        <f t="shared" si="0"/>
        <v/>
      </c>
      <c r="C40" s="49">
        <f>IF(D11="","-",+C39+1)</f>
        <v>2041</v>
      </c>
      <c r="D40" s="54">
        <f>IF(F39+SUM(E$17:E39)=D$10,F39,D$10-SUM(E$17:E39))</f>
        <v>5251457.3996833954</v>
      </c>
      <c r="E40" s="377">
        <f t="shared" si="21"/>
        <v>569776.33333333337</v>
      </c>
      <c r="F40" s="54">
        <f t="shared" si="22"/>
        <v>4681681.0663500624</v>
      </c>
      <c r="G40" s="378">
        <f t="shared" si="23"/>
        <v>1138199.821486325</v>
      </c>
      <c r="H40" s="359">
        <f t="shared" si="24"/>
        <v>1138199.821486325</v>
      </c>
      <c r="I40" s="51">
        <f t="shared" si="1"/>
        <v>0</v>
      </c>
      <c r="J40" s="51"/>
      <c r="K40" s="112"/>
      <c r="L40" s="53">
        <f t="shared" si="3"/>
        <v>0</v>
      </c>
      <c r="M40" s="112"/>
      <c r="N40" s="53">
        <f t="shared" si="5"/>
        <v>0</v>
      </c>
      <c r="O40" s="53">
        <f t="shared" si="6"/>
        <v>0</v>
      </c>
      <c r="P40" s="1"/>
    </row>
    <row r="41" spans="2:16">
      <c r="B41" t="str">
        <f t="shared" si="0"/>
        <v/>
      </c>
      <c r="C41" s="49">
        <f>IF(D11="","-",+C40+1)</f>
        <v>2042</v>
      </c>
      <c r="D41" s="54">
        <f>IF(F40+SUM(E$17:E40)=D$10,F40,D$10-SUM(E$17:E40))</f>
        <v>4681681.0663500624</v>
      </c>
      <c r="E41" s="377">
        <f t="shared" si="21"/>
        <v>569776.33333333337</v>
      </c>
      <c r="F41" s="54">
        <f t="shared" si="22"/>
        <v>4111904.7330167289</v>
      </c>
      <c r="G41" s="378">
        <f t="shared" si="23"/>
        <v>1072988.9615012661</v>
      </c>
      <c r="H41" s="359">
        <f t="shared" si="24"/>
        <v>1072988.9615012661</v>
      </c>
      <c r="I41" s="51">
        <f t="shared" si="1"/>
        <v>0</v>
      </c>
      <c r="J41" s="51"/>
      <c r="K41" s="112"/>
      <c r="L41" s="53">
        <f t="shared" si="3"/>
        <v>0</v>
      </c>
      <c r="M41" s="112"/>
      <c r="N41" s="53">
        <f t="shared" si="5"/>
        <v>0</v>
      </c>
      <c r="O41" s="53">
        <f t="shared" si="6"/>
        <v>0</v>
      </c>
      <c r="P41" s="1"/>
    </row>
    <row r="42" spans="2:16">
      <c r="B42" t="str">
        <f t="shared" si="0"/>
        <v/>
      </c>
      <c r="C42" s="49">
        <f>IF(D11="","-",+C41+1)</f>
        <v>2043</v>
      </c>
      <c r="D42" s="54">
        <f>IF(F41+SUM(E$17:E41)=D$10,F41,D$10-SUM(E$17:E41))</f>
        <v>4111904.7330167289</v>
      </c>
      <c r="E42" s="377">
        <f t="shared" si="21"/>
        <v>569776.33333333337</v>
      </c>
      <c r="F42" s="54">
        <f t="shared" si="22"/>
        <v>3542128.3996833954</v>
      </c>
      <c r="G42" s="378">
        <f t="shared" si="23"/>
        <v>1007778.1015162073</v>
      </c>
      <c r="H42" s="359">
        <f t="shared" si="24"/>
        <v>1007778.1015162073</v>
      </c>
      <c r="I42" s="51">
        <f t="shared" si="1"/>
        <v>0</v>
      </c>
      <c r="J42" s="51"/>
      <c r="K42" s="112"/>
      <c r="L42" s="53">
        <f t="shared" si="3"/>
        <v>0</v>
      </c>
      <c r="M42" s="112"/>
      <c r="N42" s="53">
        <f t="shared" si="5"/>
        <v>0</v>
      </c>
      <c r="O42" s="53">
        <f t="shared" si="6"/>
        <v>0</v>
      </c>
      <c r="P42" s="1"/>
    </row>
    <row r="43" spans="2:16">
      <c r="B43" t="str">
        <f t="shared" si="0"/>
        <v/>
      </c>
      <c r="C43" s="49">
        <f>IF(D11="","-",+C42+1)</f>
        <v>2044</v>
      </c>
      <c r="D43" s="54">
        <f>IF(F42+SUM(E$17:E42)=D$10,F42,D$10-SUM(E$17:E42))</f>
        <v>3542128.3996833954</v>
      </c>
      <c r="E43" s="377">
        <f t="shared" si="21"/>
        <v>569776.33333333337</v>
      </c>
      <c r="F43" s="54">
        <f t="shared" si="22"/>
        <v>2972352.0663500619</v>
      </c>
      <c r="G43" s="378">
        <f t="shared" si="23"/>
        <v>942567.24153114832</v>
      </c>
      <c r="H43" s="359">
        <f t="shared" si="24"/>
        <v>942567.24153114832</v>
      </c>
      <c r="I43" s="51">
        <f t="shared" si="1"/>
        <v>0</v>
      </c>
      <c r="J43" s="51"/>
      <c r="K43" s="112"/>
      <c r="L43" s="53">
        <f t="shared" si="3"/>
        <v>0</v>
      </c>
      <c r="M43" s="112"/>
      <c r="N43" s="53">
        <f t="shared" si="5"/>
        <v>0</v>
      </c>
      <c r="O43" s="53">
        <f t="shared" si="6"/>
        <v>0</v>
      </c>
      <c r="P43" s="1"/>
    </row>
    <row r="44" spans="2:16">
      <c r="B44" t="str">
        <f t="shared" si="0"/>
        <v/>
      </c>
      <c r="C44" s="49">
        <f>IF(D11="","-",+C43+1)</f>
        <v>2045</v>
      </c>
      <c r="D44" s="54">
        <f>IF(F43+SUM(E$17:E43)=D$10,F43,D$10-SUM(E$17:E43))</f>
        <v>2972352.0663500619</v>
      </c>
      <c r="E44" s="377">
        <f t="shared" si="21"/>
        <v>569776.33333333337</v>
      </c>
      <c r="F44" s="54">
        <f t="shared" si="22"/>
        <v>2402575.7330167284</v>
      </c>
      <c r="G44" s="378">
        <f t="shared" si="23"/>
        <v>877356.38154608966</v>
      </c>
      <c r="H44" s="359">
        <f t="shared" si="24"/>
        <v>877356.38154608966</v>
      </c>
      <c r="I44" s="51">
        <f t="shared" si="1"/>
        <v>0</v>
      </c>
      <c r="J44" s="51"/>
      <c r="K44" s="112"/>
      <c r="L44" s="53">
        <f t="shared" si="3"/>
        <v>0</v>
      </c>
      <c r="M44" s="112"/>
      <c r="N44" s="53">
        <f t="shared" si="5"/>
        <v>0</v>
      </c>
      <c r="O44" s="53">
        <f t="shared" si="6"/>
        <v>0</v>
      </c>
      <c r="P44" s="1"/>
    </row>
    <row r="45" spans="2:16">
      <c r="B45" t="str">
        <f t="shared" si="0"/>
        <v/>
      </c>
      <c r="C45" s="49">
        <f>IF(D11="","-",+C44+1)</f>
        <v>2046</v>
      </c>
      <c r="D45" s="54">
        <f>IF(F44+SUM(E$17:E44)=D$10,F44,D$10-SUM(E$17:E44))</f>
        <v>2402575.7330167284</v>
      </c>
      <c r="E45" s="377">
        <f t="shared" si="21"/>
        <v>569776.33333333337</v>
      </c>
      <c r="F45" s="54">
        <f t="shared" si="22"/>
        <v>1832799.3996833949</v>
      </c>
      <c r="G45" s="378">
        <f t="shared" si="23"/>
        <v>812145.52156103065</v>
      </c>
      <c r="H45" s="359">
        <f t="shared" si="24"/>
        <v>812145.52156103065</v>
      </c>
      <c r="I45" s="51">
        <f t="shared" si="1"/>
        <v>0</v>
      </c>
      <c r="J45" s="51"/>
      <c r="K45" s="112"/>
      <c r="L45" s="53">
        <f t="shared" si="3"/>
        <v>0</v>
      </c>
      <c r="M45" s="112"/>
      <c r="N45" s="53">
        <f t="shared" si="5"/>
        <v>0</v>
      </c>
      <c r="O45" s="53">
        <f t="shared" si="6"/>
        <v>0</v>
      </c>
      <c r="P45" s="1"/>
    </row>
    <row r="46" spans="2:16">
      <c r="B46" t="str">
        <f t="shared" si="0"/>
        <v/>
      </c>
      <c r="C46" s="49">
        <f>IF(D11="","-",+C45+1)</f>
        <v>2047</v>
      </c>
      <c r="D46" s="54">
        <f>IF(F45+SUM(E$17:E45)=D$10,F45,D$10-SUM(E$17:E45))</f>
        <v>1832799.3996833949</v>
      </c>
      <c r="E46" s="377">
        <f t="shared" si="21"/>
        <v>569776.33333333337</v>
      </c>
      <c r="F46" s="54">
        <f t="shared" si="22"/>
        <v>1263023.0663500614</v>
      </c>
      <c r="G46" s="378">
        <f t="shared" si="23"/>
        <v>746934.66157597187</v>
      </c>
      <c r="H46" s="359">
        <f t="shared" si="24"/>
        <v>746934.66157597187</v>
      </c>
      <c r="I46" s="51">
        <f t="shared" si="1"/>
        <v>0</v>
      </c>
      <c r="J46" s="51"/>
      <c r="K46" s="112"/>
      <c r="L46" s="53">
        <f t="shared" si="3"/>
        <v>0</v>
      </c>
      <c r="M46" s="112"/>
      <c r="N46" s="53">
        <f t="shared" si="5"/>
        <v>0</v>
      </c>
      <c r="O46" s="53">
        <f t="shared" si="6"/>
        <v>0</v>
      </c>
      <c r="P46" s="1"/>
    </row>
    <row r="47" spans="2:16">
      <c r="B47" t="str">
        <f t="shared" si="0"/>
        <v/>
      </c>
      <c r="C47" s="49">
        <f>IF(D11="","-",+C46+1)</f>
        <v>2048</v>
      </c>
      <c r="D47" s="54">
        <f>IF(F46+SUM(E$17:E46)=D$10,F46,D$10-SUM(E$17:E46))</f>
        <v>1263023.0663500614</v>
      </c>
      <c r="E47" s="377">
        <f t="shared" si="21"/>
        <v>569776.33333333337</v>
      </c>
      <c r="F47" s="54">
        <f t="shared" si="22"/>
        <v>693246.73301672807</v>
      </c>
      <c r="G47" s="378">
        <f t="shared" si="23"/>
        <v>681723.80159091298</v>
      </c>
      <c r="H47" s="359">
        <f t="shared" si="24"/>
        <v>681723.80159091298</v>
      </c>
      <c r="I47" s="51">
        <f t="shared" si="1"/>
        <v>0</v>
      </c>
      <c r="J47" s="51"/>
      <c r="K47" s="112"/>
      <c r="L47" s="53">
        <f t="shared" si="3"/>
        <v>0</v>
      </c>
      <c r="M47" s="112"/>
      <c r="N47" s="53">
        <f t="shared" si="5"/>
        <v>0</v>
      </c>
      <c r="O47" s="53">
        <f t="shared" si="6"/>
        <v>0</v>
      </c>
      <c r="P47" s="1"/>
    </row>
    <row r="48" spans="2:16">
      <c r="B48" t="str">
        <f t="shared" si="0"/>
        <v/>
      </c>
      <c r="C48" s="49">
        <f>IF(D11="","-",+C47+1)</f>
        <v>2049</v>
      </c>
      <c r="D48" s="54">
        <f>IF(F47+SUM(E$17:E47)=D$10,F47,D$10-SUM(E$17:E47))</f>
        <v>693246.73301672807</v>
      </c>
      <c r="E48" s="377">
        <f t="shared" si="21"/>
        <v>569776.33333333337</v>
      </c>
      <c r="F48" s="54">
        <f t="shared" si="22"/>
        <v>123470.3996833947</v>
      </c>
      <c r="G48" s="378">
        <f t="shared" si="23"/>
        <v>616512.94160585408</v>
      </c>
      <c r="H48" s="359">
        <f t="shared" si="24"/>
        <v>616512.94160585408</v>
      </c>
      <c r="I48" s="51">
        <f t="shared" si="1"/>
        <v>0</v>
      </c>
      <c r="J48" s="51"/>
      <c r="K48" s="112"/>
      <c r="L48" s="53">
        <f t="shared" si="3"/>
        <v>0</v>
      </c>
      <c r="M48" s="112"/>
      <c r="N48" s="53">
        <f t="shared" si="5"/>
        <v>0</v>
      </c>
      <c r="O48" s="53">
        <f t="shared" si="6"/>
        <v>0</v>
      </c>
      <c r="P48" s="1"/>
    </row>
    <row r="49" spans="2:16">
      <c r="B49" t="str">
        <f t="shared" si="0"/>
        <v/>
      </c>
      <c r="C49" s="49">
        <f>IF(D11="","-",+C48+1)</f>
        <v>2050</v>
      </c>
      <c r="D49" s="54">
        <f>IF(F48+SUM(E$17:E48)=D$10,F48,D$10-SUM(E$17:E48))</f>
        <v>123470.3996833947</v>
      </c>
      <c r="E49" s="377">
        <f t="shared" si="21"/>
        <v>123470.3996833947</v>
      </c>
      <c r="F49" s="54">
        <f t="shared" si="22"/>
        <v>0</v>
      </c>
      <c r="G49" s="378">
        <f t="shared" si="23"/>
        <v>130535.98882339038</v>
      </c>
      <c r="H49" s="359">
        <f t="shared" si="24"/>
        <v>130535.98882339038</v>
      </c>
      <c r="I49" s="51">
        <f t="shared" si="1"/>
        <v>0</v>
      </c>
      <c r="J49" s="51"/>
      <c r="K49" s="112"/>
      <c r="L49" s="53">
        <f t="shared" si="3"/>
        <v>0</v>
      </c>
      <c r="M49" s="112"/>
      <c r="N49" s="53">
        <f t="shared" si="5"/>
        <v>0</v>
      </c>
      <c r="O49" s="53">
        <f t="shared" si="6"/>
        <v>0</v>
      </c>
      <c r="P49" s="1"/>
    </row>
    <row r="50" spans="2:16">
      <c r="B50" t="str">
        <f t="shared" si="0"/>
        <v/>
      </c>
      <c r="C50" s="49">
        <f>IF(D11="","-",+C49+1)</f>
        <v>2051</v>
      </c>
      <c r="D50" s="54">
        <f>IF(F49+SUM(E$17:E49)=D$10,F49,D$10-SUM(E$17:E49))</f>
        <v>0</v>
      </c>
      <c r="E50" s="377">
        <f t="shared" si="21"/>
        <v>0</v>
      </c>
      <c r="F50" s="54">
        <f t="shared" si="22"/>
        <v>0</v>
      </c>
      <c r="G50" s="378">
        <f t="shared" si="23"/>
        <v>0</v>
      </c>
      <c r="H50" s="359">
        <f t="shared" si="24"/>
        <v>0</v>
      </c>
      <c r="I50" s="51">
        <f t="shared" si="1"/>
        <v>0</v>
      </c>
      <c r="J50" s="51"/>
      <c r="K50" s="112"/>
      <c r="L50" s="53">
        <f t="shared" si="3"/>
        <v>0</v>
      </c>
      <c r="M50" s="112"/>
      <c r="N50" s="53">
        <f t="shared" si="5"/>
        <v>0</v>
      </c>
      <c r="O50" s="53">
        <f t="shared" si="6"/>
        <v>0</v>
      </c>
      <c r="P50" s="1"/>
    </row>
    <row r="51" spans="2:16">
      <c r="B51" t="str">
        <f t="shared" si="0"/>
        <v/>
      </c>
      <c r="C51" s="49">
        <f>IF(D11="","-",+C50+1)</f>
        <v>2052</v>
      </c>
      <c r="D51" s="54">
        <f>IF(F50+SUM(E$17:E50)=D$10,F50,D$10-SUM(E$17:E50))</f>
        <v>0</v>
      </c>
      <c r="E51" s="377">
        <f t="shared" si="21"/>
        <v>0</v>
      </c>
      <c r="F51" s="54">
        <f t="shared" si="22"/>
        <v>0</v>
      </c>
      <c r="G51" s="378">
        <f t="shared" si="23"/>
        <v>0</v>
      </c>
      <c r="H51" s="359">
        <f t="shared" si="24"/>
        <v>0</v>
      </c>
      <c r="I51" s="51">
        <f t="shared" si="1"/>
        <v>0</v>
      </c>
      <c r="J51" s="51"/>
      <c r="K51" s="112"/>
      <c r="L51" s="53">
        <f t="shared" si="3"/>
        <v>0</v>
      </c>
      <c r="M51" s="112"/>
      <c r="N51" s="53">
        <f t="shared" si="5"/>
        <v>0</v>
      </c>
      <c r="O51" s="53">
        <f t="shared" si="6"/>
        <v>0</v>
      </c>
      <c r="P51" s="1"/>
    </row>
    <row r="52" spans="2:16">
      <c r="B52" t="str">
        <f t="shared" si="0"/>
        <v/>
      </c>
      <c r="C52" s="49">
        <f>IF(D11="","-",+C51+1)</f>
        <v>2053</v>
      </c>
      <c r="D52" s="54">
        <f>IF(F51+SUM(E$17:E51)=D$10,F51,D$10-SUM(E$17:E51))</f>
        <v>0</v>
      </c>
      <c r="E52" s="377">
        <f t="shared" si="21"/>
        <v>0</v>
      </c>
      <c r="F52" s="54">
        <f t="shared" si="22"/>
        <v>0</v>
      </c>
      <c r="G52" s="378">
        <f t="shared" si="23"/>
        <v>0</v>
      </c>
      <c r="H52" s="359">
        <f t="shared" si="24"/>
        <v>0</v>
      </c>
      <c r="I52" s="51">
        <f t="shared" si="1"/>
        <v>0</v>
      </c>
      <c r="J52" s="51"/>
      <c r="K52" s="112"/>
      <c r="L52" s="53">
        <f t="shared" si="3"/>
        <v>0</v>
      </c>
      <c r="M52" s="112"/>
      <c r="N52" s="53">
        <f t="shared" si="5"/>
        <v>0</v>
      </c>
      <c r="O52" s="53">
        <f t="shared" si="6"/>
        <v>0</v>
      </c>
      <c r="P52" s="1"/>
    </row>
    <row r="53" spans="2:16">
      <c r="B53" t="str">
        <f t="shared" si="0"/>
        <v/>
      </c>
      <c r="C53" s="49">
        <f>IF(D11="","-",+C52+1)</f>
        <v>2054</v>
      </c>
      <c r="D53" s="54">
        <f>IF(F52+SUM(E$17:E52)=D$10,F52,D$10-SUM(E$17:E52))</f>
        <v>0</v>
      </c>
      <c r="E53" s="377">
        <f t="shared" si="21"/>
        <v>0</v>
      </c>
      <c r="F53" s="54">
        <f t="shared" si="22"/>
        <v>0</v>
      </c>
      <c r="G53" s="378">
        <f t="shared" si="23"/>
        <v>0</v>
      </c>
      <c r="H53" s="359">
        <f t="shared" si="24"/>
        <v>0</v>
      </c>
      <c r="I53" s="51">
        <f t="shared" si="1"/>
        <v>0</v>
      </c>
      <c r="J53" s="51"/>
      <c r="K53" s="112"/>
      <c r="L53" s="53">
        <f t="shared" si="3"/>
        <v>0</v>
      </c>
      <c r="M53" s="112"/>
      <c r="N53" s="53">
        <f t="shared" si="5"/>
        <v>0</v>
      </c>
      <c r="O53" s="53">
        <f t="shared" si="6"/>
        <v>0</v>
      </c>
      <c r="P53" s="1"/>
    </row>
    <row r="54" spans="2:16">
      <c r="B54" t="str">
        <f t="shared" si="0"/>
        <v/>
      </c>
      <c r="C54" s="49">
        <f>IF(D11="","-",+C53+1)</f>
        <v>2055</v>
      </c>
      <c r="D54" s="54">
        <f>IF(F53+SUM(E$17:E53)=D$10,F53,D$10-SUM(E$17:E53))</f>
        <v>0</v>
      </c>
      <c r="E54" s="377">
        <f t="shared" si="21"/>
        <v>0</v>
      </c>
      <c r="F54" s="54">
        <f t="shared" si="22"/>
        <v>0</v>
      </c>
      <c r="G54" s="378">
        <f t="shared" si="23"/>
        <v>0</v>
      </c>
      <c r="H54" s="359">
        <f t="shared" si="24"/>
        <v>0</v>
      </c>
      <c r="I54" s="51">
        <f t="shared" si="1"/>
        <v>0</v>
      </c>
      <c r="J54" s="51"/>
      <c r="K54" s="112"/>
      <c r="L54" s="53">
        <f t="shared" si="3"/>
        <v>0</v>
      </c>
      <c r="M54" s="112"/>
      <c r="N54" s="53">
        <f t="shared" si="5"/>
        <v>0</v>
      </c>
      <c r="O54" s="53">
        <f t="shared" si="6"/>
        <v>0</v>
      </c>
      <c r="P54" s="1"/>
    </row>
    <row r="55" spans="2:16">
      <c r="B55" t="str">
        <f t="shared" si="0"/>
        <v/>
      </c>
      <c r="C55" s="49">
        <f>IF(D11="","-",+C54+1)</f>
        <v>2056</v>
      </c>
      <c r="D55" s="54">
        <f>IF(F54+SUM(E$17:E54)=D$10,F54,D$10-SUM(E$17:E54))</f>
        <v>0</v>
      </c>
      <c r="E55" s="377">
        <f t="shared" si="21"/>
        <v>0</v>
      </c>
      <c r="F55" s="54">
        <f t="shared" si="22"/>
        <v>0</v>
      </c>
      <c r="G55" s="378">
        <f t="shared" si="23"/>
        <v>0</v>
      </c>
      <c r="H55" s="359">
        <f t="shared" si="24"/>
        <v>0</v>
      </c>
      <c r="I55" s="51">
        <f t="shared" si="1"/>
        <v>0</v>
      </c>
      <c r="J55" s="51"/>
      <c r="K55" s="112"/>
      <c r="L55" s="53">
        <f t="shared" si="3"/>
        <v>0</v>
      </c>
      <c r="M55" s="112"/>
      <c r="N55" s="53">
        <f t="shared" si="5"/>
        <v>0</v>
      </c>
      <c r="O55" s="53">
        <f t="shared" si="6"/>
        <v>0</v>
      </c>
      <c r="P55" s="1"/>
    </row>
    <row r="56" spans="2:16">
      <c r="B56" t="str">
        <f t="shared" si="0"/>
        <v/>
      </c>
      <c r="C56" s="49">
        <f>IF(D11="","-",+C55+1)</f>
        <v>2057</v>
      </c>
      <c r="D56" s="54">
        <f>IF(F55+SUM(E$17:E55)=D$10,F55,D$10-SUM(E$17:E55))</f>
        <v>0</v>
      </c>
      <c r="E56" s="377">
        <f t="shared" si="21"/>
        <v>0</v>
      </c>
      <c r="F56" s="54">
        <f t="shared" si="22"/>
        <v>0</v>
      </c>
      <c r="G56" s="378">
        <f t="shared" si="23"/>
        <v>0</v>
      </c>
      <c r="H56" s="359">
        <f t="shared" si="24"/>
        <v>0</v>
      </c>
      <c r="I56" s="51">
        <f t="shared" si="1"/>
        <v>0</v>
      </c>
      <c r="J56" s="51"/>
      <c r="K56" s="112"/>
      <c r="L56" s="53">
        <f t="shared" si="3"/>
        <v>0</v>
      </c>
      <c r="M56" s="112"/>
      <c r="N56" s="53">
        <f t="shared" si="5"/>
        <v>0</v>
      </c>
      <c r="O56" s="53">
        <f t="shared" si="6"/>
        <v>0</v>
      </c>
      <c r="P56" s="1"/>
    </row>
    <row r="57" spans="2:16">
      <c r="B57" t="str">
        <f t="shared" si="0"/>
        <v/>
      </c>
      <c r="C57" s="49">
        <f>IF(D11="","-",+C56+1)</f>
        <v>2058</v>
      </c>
      <c r="D57" s="54">
        <f>IF(F56+SUM(E$17:E56)=D$10,F56,D$10-SUM(E$17:E56))</f>
        <v>0</v>
      </c>
      <c r="E57" s="377">
        <f t="shared" si="21"/>
        <v>0</v>
      </c>
      <c r="F57" s="54">
        <f t="shared" si="22"/>
        <v>0</v>
      </c>
      <c r="G57" s="378">
        <f t="shared" si="23"/>
        <v>0</v>
      </c>
      <c r="H57" s="359">
        <f t="shared" si="24"/>
        <v>0</v>
      </c>
      <c r="I57" s="51">
        <f t="shared" si="1"/>
        <v>0</v>
      </c>
      <c r="J57" s="51"/>
      <c r="K57" s="112"/>
      <c r="L57" s="53">
        <f t="shared" si="3"/>
        <v>0</v>
      </c>
      <c r="M57" s="112"/>
      <c r="N57" s="53">
        <f t="shared" si="5"/>
        <v>0</v>
      </c>
      <c r="O57" s="53">
        <f t="shared" si="6"/>
        <v>0</v>
      </c>
      <c r="P57" s="1"/>
    </row>
    <row r="58" spans="2:16">
      <c r="B58" t="str">
        <f t="shared" si="0"/>
        <v/>
      </c>
      <c r="C58" s="49">
        <f>IF(D11="","-",+C57+1)</f>
        <v>2059</v>
      </c>
      <c r="D58" s="54">
        <f>IF(F57+SUM(E$17:E57)=D$10,F57,D$10-SUM(E$17:E57))</f>
        <v>0</v>
      </c>
      <c r="E58" s="377">
        <f t="shared" si="21"/>
        <v>0</v>
      </c>
      <c r="F58" s="54">
        <f t="shared" si="22"/>
        <v>0</v>
      </c>
      <c r="G58" s="378">
        <f t="shared" si="23"/>
        <v>0</v>
      </c>
      <c r="H58" s="359">
        <f t="shared" si="24"/>
        <v>0</v>
      </c>
      <c r="I58" s="51">
        <f t="shared" si="1"/>
        <v>0</v>
      </c>
      <c r="J58" s="51"/>
      <c r="K58" s="112"/>
      <c r="L58" s="53">
        <f t="shared" si="3"/>
        <v>0</v>
      </c>
      <c r="M58" s="112"/>
      <c r="N58" s="53">
        <f t="shared" si="5"/>
        <v>0</v>
      </c>
      <c r="O58" s="53">
        <f t="shared" si="6"/>
        <v>0</v>
      </c>
      <c r="P58" s="1"/>
    </row>
    <row r="59" spans="2:16">
      <c r="B59" t="str">
        <f t="shared" si="0"/>
        <v/>
      </c>
      <c r="C59" s="49">
        <f>IF(D11="","-",+C58+1)</f>
        <v>2060</v>
      </c>
      <c r="D59" s="54">
        <f>IF(F58+SUM(E$17:E58)=D$10,F58,D$10-SUM(E$17:E58))</f>
        <v>0</v>
      </c>
      <c r="E59" s="377">
        <f t="shared" si="21"/>
        <v>0</v>
      </c>
      <c r="F59" s="54">
        <f t="shared" si="22"/>
        <v>0</v>
      </c>
      <c r="G59" s="378">
        <f t="shared" si="23"/>
        <v>0</v>
      </c>
      <c r="H59" s="359">
        <f t="shared" si="24"/>
        <v>0</v>
      </c>
      <c r="I59" s="51">
        <f t="shared" si="1"/>
        <v>0</v>
      </c>
      <c r="J59" s="51"/>
      <c r="K59" s="112"/>
      <c r="L59" s="53">
        <f t="shared" si="3"/>
        <v>0</v>
      </c>
      <c r="M59" s="112"/>
      <c r="N59" s="53">
        <f t="shared" si="5"/>
        <v>0</v>
      </c>
      <c r="O59" s="53">
        <f t="shared" si="6"/>
        <v>0</v>
      </c>
      <c r="P59" s="1"/>
    </row>
    <row r="60" spans="2:16">
      <c r="B60" t="str">
        <f t="shared" si="0"/>
        <v/>
      </c>
      <c r="C60" s="49">
        <f>IF(D11="","-",+C59+1)</f>
        <v>2061</v>
      </c>
      <c r="D60" s="54">
        <f>IF(F59+SUM(E$17:E59)=D$10,F59,D$10-SUM(E$17:E59))</f>
        <v>0</v>
      </c>
      <c r="E60" s="377">
        <f t="shared" si="21"/>
        <v>0</v>
      </c>
      <c r="F60" s="54">
        <f t="shared" si="22"/>
        <v>0</v>
      </c>
      <c r="G60" s="378">
        <f t="shared" si="23"/>
        <v>0</v>
      </c>
      <c r="H60" s="359">
        <f t="shared" si="24"/>
        <v>0</v>
      </c>
      <c r="I60" s="51">
        <f t="shared" si="1"/>
        <v>0</v>
      </c>
      <c r="J60" s="51"/>
      <c r="K60" s="112"/>
      <c r="L60" s="53">
        <f t="shared" si="3"/>
        <v>0</v>
      </c>
      <c r="M60" s="112"/>
      <c r="N60" s="53">
        <f t="shared" si="5"/>
        <v>0</v>
      </c>
      <c r="O60" s="53">
        <f t="shared" si="6"/>
        <v>0</v>
      </c>
      <c r="P60" s="1"/>
    </row>
    <row r="61" spans="2:16">
      <c r="B61" t="str">
        <f t="shared" si="0"/>
        <v/>
      </c>
      <c r="C61" s="49">
        <f>IF(D11="","-",+C60+1)</f>
        <v>2062</v>
      </c>
      <c r="D61" s="54">
        <f>IF(F60+SUM(E$17:E60)=D$10,F60,D$10-SUM(E$17:E60))</f>
        <v>0</v>
      </c>
      <c r="E61" s="377">
        <f t="shared" si="21"/>
        <v>0</v>
      </c>
      <c r="F61" s="54">
        <f t="shared" si="22"/>
        <v>0</v>
      </c>
      <c r="G61" s="388">
        <f t="shared" si="23"/>
        <v>0</v>
      </c>
      <c r="H61" s="359">
        <f t="shared" si="24"/>
        <v>0</v>
      </c>
      <c r="I61" s="51">
        <f t="shared" si="1"/>
        <v>0</v>
      </c>
      <c r="J61" s="51"/>
      <c r="K61" s="112"/>
      <c r="L61" s="53">
        <f t="shared" si="3"/>
        <v>0</v>
      </c>
      <c r="M61" s="112"/>
      <c r="N61" s="53">
        <f t="shared" si="5"/>
        <v>0</v>
      </c>
      <c r="O61" s="53">
        <f t="shared" si="6"/>
        <v>0</v>
      </c>
      <c r="P61" s="1"/>
    </row>
    <row r="62" spans="2:16">
      <c r="B62" t="str">
        <f t="shared" si="0"/>
        <v/>
      </c>
      <c r="C62" s="49">
        <f>IF(D11="","-",+C61+1)</f>
        <v>2063</v>
      </c>
      <c r="D62" s="54">
        <f>IF(F61+SUM(E$17:E61)=D$10,F61,D$10-SUM(E$17:E61))</f>
        <v>0</v>
      </c>
      <c r="E62" s="377">
        <f t="shared" si="21"/>
        <v>0</v>
      </c>
      <c r="F62" s="54">
        <f t="shared" si="22"/>
        <v>0</v>
      </c>
      <c r="G62" s="388">
        <f t="shared" si="23"/>
        <v>0</v>
      </c>
      <c r="H62" s="359">
        <f t="shared" si="24"/>
        <v>0</v>
      </c>
      <c r="I62" s="51">
        <f t="shared" si="1"/>
        <v>0</v>
      </c>
      <c r="J62" s="51"/>
      <c r="K62" s="112"/>
      <c r="L62" s="53">
        <f t="shared" si="3"/>
        <v>0</v>
      </c>
      <c r="M62" s="112"/>
      <c r="N62" s="53">
        <f t="shared" si="5"/>
        <v>0</v>
      </c>
      <c r="O62" s="53">
        <f t="shared" si="6"/>
        <v>0</v>
      </c>
      <c r="P62" s="1"/>
    </row>
    <row r="63" spans="2:16">
      <c r="B63" t="str">
        <f t="shared" si="0"/>
        <v/>
      </c>
      <c r="C63" s="49">
        <f>IF(D11="","-",+C62+1)</f>
        <v>2064</v>
      </c>
      <c r="D63" s="54">
        <f>IF(F62+SUM(E$17:E62)=D$10,F62,D$10-SUM(E$17:E62))</f>
        <v>0</v>
      </c>
      <c r="E63" s="377">
        <f t="shared" si="21"/>
        <v>0</v>
      </c>
      <c r="F63" s="54">
        <f t="shared" si="22"/>
        <v>0</v>
      </c>
      <c r="G63" s="388">
        <f t="shared" si="23"/>
        <v>0</v>
      </c>
      <c r="H63" s="359">
        <f t="shared" si="24"/>
        <v>0</v>
      </c>
      <c r="I63" s="51">
        <f t="shared" si="1"/>
        <v>0</v>
      </c>
      <c r="J63" s="51"/>
      <c r="K63" s="112"/>
      <c r="L63" s="53">
        <f t="shared" si="3"/>
        <v>0</v>
      </c>
      <c r="M63" s="112"/>
      <c r="N63" s="53">
        <f t="shared" si="5"/>
        <v>0</v>
      </c>
      <c r="O63" s="53">
        <f t="shared" si="6"/>
        <v>0</v>
      </c>
      <c r="P63" s="1"/>
    </row>
    <row r="64" spans="2:16">
      <c r="B64" t="str">
        <f t="shared" si="0"/>
        <v/>
      </c>
      <c r="C64" s="49">
        <f>IF(D11="","-",+C63+1)</f>
        <v>2065</v>
      </c>
      <c r="D64" s="54">
        <f>IF(F63+SUM(E$17:E63)=D$10,F63,D$10-SUM(E$17:E63))</f>
        <v>0</v>
      </c>
      <c r="E64" s="377">
        <f t="shared" si="21"/>
        <v>0</v>
      </c>
      <c r="F64" s="54">
        <f t="shared" si="22"/>
        <v>0</v>
      </c>
      <c r="G64" s="388">
        <f t="shared" si="23"/>
        <v>0</v>
      </c>
      <c r="H64" s="359">
        <f t="shared" si="24"/>
        <v>0</v>
      </c>
      <c r="I64" s="51">
        <f t="shared" si="1"/>
        <v>0</v>
      </c>
      <c r="J64" s="51"/>
      <c r="K64" s="112"/>
      <c r="L64" s="53">
        <f t="shared" si="3"/>
        <v>0</v>
      </c>
      <c r="M64" s="112"/>
      <c r="N64" s="53">
        <f t="shared" si="5"/>
        <v>0</v>
      </c>
      <c r="O64" s="53">
        <f t="shared" si="6"/>
        <v>0</v>
      </c>
      <c r="P64" s="1"/>
    </row>
    <row r="65" spans="2:16">
      <c r="B65" t="str">
        <f t="shared" si="0"/>
        <v/>
      </c>
      <c r="C65" s="49">
        <f>IF(D11="","-",+C64+1)</f>
        <v>2066</v>
      </c>
      <c r="D65" s="54">
        <f>IF(F64+SUM(E$17:E64)=D$10,F64,D$10-SUM(E$17:E64))</f>
        <v>0</v>
      </c>
      <c r="E65" s="377">
        <f t="shared" si="21"/>
        <v>0</v>
      </c>
      <c r="F65" s="54">
        <f t="shared" si="22"/>
        <v>0</v>
      </c>
      <c r="G65" s="388">
        <f t="shared" si="23"/>
        <v>0</v>
      </c>
      <c r="H65" s="359">
        <f t="shared" si="24"/>
        <v>0</v>
      </c>
      <c r="I65" s="51">
        <f t="shared" si="1"/>
        <v>0</v>
      </c>
      <c r="J65" s="51"/>
      <c r="K65" s="112"/>
      <c r="L65" s="53">
        <f t="shared" si="3"/>
        <v>0</v>
      </c>
      <c r="M65" s="112"/>
      <c r="N65" s="53">
        <f t="shared" si="5"/>
        <v>0</v>
      </c>
      <c r="O65" s="53">
        <f t="shared" si="6"/>
        <v>0</v>
      </c>
      <c r="P65" s="1"/>
    </row>
    <row r="66" spans="2:16">
      <c r="B66" t="str">
        <f t="shared" si="0"/>
        <v/>
      </c>
      <c r="C66" s="49">
        <f>IF(D11="","-",+C65+1)</f>
        <v>2067</v>
      </c>
      <c r="D66" s="54">
        <f>IF(F65+SUM(E$17:E65)=D$10,F65,D$10-SUM(E$17:E65))</f>
        <v>0</v>
      </c>
      <c r="E66" s="377">
        <f t="shared" si="21"/>
        <v>0</v>
      </c>
      <c r="F66" s="54">
        <f t="shared" si="22"/>
        <v>0</v>
      </c>
      <c r="G66" s="388">
        <f t="shared" si="23"/>
        <v>0</v>
      </c>
      <c r="H66" s="359">
        <f t="shared" si="24"/>
        <v>0</v>
      </c>
      <c r="I66" s="51">
        <f t="shared" si="1"/>
        <v>0</v>
      </c>
      <c r="J66" s="51"/>
      <c r="K66" s="112"/>
      <c r="L66" s="53">
        <f t="shared" si="3"/>
        <v>0</v>
      </c>
      <c r="M66" s="112"/>
      <c r="N66" s="53">
        <f t="shared" si="5"/>
        <v>0</v>
      </c>
      <c r="O66" s="53">
        <f t="shared" si="6"/>
        <v>0</v>
      </c>
      <c r="P66" s="1"/>
    </row>
    <row r="67" spans="2:16">
      <c r="B67" t="str">
        <f t="shared" si="0"/>
        <v/>
      </c>
      <c r="C67" s="49">
        <f>IF(D11="","-",+C66+1)</f>
        <v>2068</v>
      </c>
      <c r="D67" s="54">
        <f>IF(F66+SUM(E$17:E66)=D$10,F66,D$10-SUM(E$17:E66))</f>
        <v>0</v>
      </c>
      <c r="E67" s="377">
        <f t="shared" si="21"/>
        <v>0</v>
      </c>
      <c r="F67" s="54">
        <f t="shared" si="22"/>
        <v>0</v>
      </c>
      <c r="G67" s="388">
        <f t="shared" si="23"/>
        <v>0</v>
      </c>
      <c r="H67" s="359">
        <f t="shared" si="24"/>
        <v>0</v>
      </c>
      <c r="I67" s="51">
        <f t="shared" si="1"/>
        <v>0</v>
      </c>
      <c r="J67" s="51"/>
      <c r="K67" s="112"/>
      <c r="L67" s="53">
        <f t="shared" si="3"/>
        <v>0</v>
      </c>
      <c r="M67" s="112"/>
      <c r="N67" s="53">
        <f t="shared" si="5"/>
        <v>0</v>
      </c>
      <c r="O67" s="53">
        <f t="shared" si="6"/>
        <v>0</v>
      </c>
      <c r="P67" s="1"/>
    </row>
    <row r="68" spans="2:16">
      <c r="B68" t="str">
        <f t="shared" si="0"/>
        <v/>
      </c>
      <c r="C68" s="49">
        <f>IF(D11="","-",+C67+1)</f>
        <v>2069</v>
      </c>
      <c r="D68" s="54">
        <f>IF(F67+SUM(E$17:E67)=D$10,F67,D$10-SUM(E$17:E67))</f>
        <v>0</v>
      </c>
      <c r="E68" s="377">
        <f t="shared" si="21"/>
        <v>0</v>
      </c>
      <c r="F68" s="54">
        <f t="shared" si="22"/>
        <v>0</v>
      </c>
      <c r="G68" s="388">
        <f t="shared" si="23"/>
        <v>0</v>
      </c>
      <c r="H68" s="359">
        <f t="shared" si="24"/>
        <v>0</v>
      </c>
      <c r="I68" s="51">
        <f t="shared" si="1"/>
        <v>0</v>
      </c>
      <c r="J68" s="51"/>
      <c r="K68" s="112"/>
      <c r="L68" s="53">
        <f t="shared" si="3"/>
        <v>0</v>
      </c>
      <c r="M68" s="112"/>
      <c r="N68" s="53">
        <f t="shared" si="5"/>
        <v>0</v>
      </c>
      <c r="O68" s="53">
        <f t="shared" si="6"/>
        <v>0</v>
      </c>
      <c r="P68" s="1"/>
    </row>
    <row r="69" spans="2:16">
      <c r="B69" t="str">
        <f t="shared" si="0"/>
        <v/>
      </c>
      <c r="C69" s="49">
        <f>IF(D11="","-",+C68+1)</f>
        <v>2070</v>
      </c>
      <c r="D69" s="54">
        <f>IF(F68+SUM(E$17:E68)=D$10,F68,D$10-SUM(E$17:E68))</f>
        <v>0</v>
      </c>
      <c r="E69" s="377">
        <f t="shared" si="21"/>
        <v>0</v>
      </c>
      <c r="F69" s="54">
        <f t="shared" si="22"/>
        <v>0</v>
      </c>
      <c r="G69" s="388">
        <f t="shared" si="23"/>
        <v>0</v>
      </c>
      <c r="H69" s="359">
        <f t="shared" si="24"/>
        <v>0</v>
      </c>
      <c r="I69" s="51">
        <f t="shared" si="1"/>
        <v>0</v>
      </c>
      <c r="J69" s="51"/>
      <c r="K69" s="112"/>
      <c r="L69" s="53">
        <f t="shared" si="3"/>
        <v>0</v>
      </c>
      <c r="M69" s="112"/>
      <c r="N69" s="53">
        <f t="shared" si="5"/>
        <v>0</v>
      </c>
      <c r="O69" s="53">
        <f t="shared" si="6"/>
        <v>0</v>
      </c>
      <c r="P69" s="1"/>
    </row>
    <row r="70" spans="2:16">
      <c r="B70" t="str">
        <f t="shared" si="0"/>
        <v/>
      </c>
      <c r="C70" s="49">
        <f>IF(D11="","-",+C69+1)</f>
        <v>2071</v>
      </c>
      <c r="D70" s="54">
        <f>IF(F69+SUM(E$17:E69)=D$10,F69,D$10-SUM(E$17:E69))</f>
        <v>0</v>
      </c>
      <c r="E70" s="377">
        <f t="shared" si="21"/>
        <v>0</v>
      </c>
      <c r="F70" s="54">
        <f t="shared" si="22"/>
        <v>0</v>
      </c>
      <c r="G70" s="388">
        <f t="shared" si="23"/>
        <v>0</v>
      </c>
      <c r="H70" s="359">
        <f t="shared" si="24"/>
        <v>0</v>
      </c>
      <c r="I70" s="51">
        <f t="shared" si="1"/>
        <v>0</v>
      </c>
      <c r="J70" s="51"/>
      <c r="K70" s="112"/>
      <c r="L70" s="53">
        <f t="shared" si="3"/>
        <v>0</v>
      </c>
      <c r="M70" s="112"/>
      <c r="N70" s="53">
        <f t="shared" si="5"/>
        <v>0</v>
      </c>
      <c r="O70" s="53">
        <f t="shared" si="6"/>
        <v>0</v>
      </c>
      <c r="P70" s="1"/>
    </row>
    <row r="71" spans="2:16">
      <c r="B71" t="str">
        <f t="shared" si="0"/>
        <v/>
      </c>
      <c r="C71" s="49">
        <f>IF(D11="","-",+C70+1)</f>
        <v>2072</v>
      </c>
      <c r="D71" s="54">
        <f>IF(F70+SUM(E$17:E70)=D$10,F70,D$10-SUM(E$17:E70))</f>
        <v>0</v>
      </c>
      <c r="E71" s="377">
        <f t="shared" si="21"/>
        <v>0</v>
      </c>
      <c r="F71" s="54">
        <f t="shared" si="22"/>
        <v>0</v>
      </c>
      <c r="G71" s="388">
        <f t="shared" si="23"/>
        <v>0</v>
      </c>
      <c r="H71" s="359">
        <f t="shared" si="24"/>
        <v>0</v>
      </c>
      <c r="I71" s="51">
        <f t="shared" si="1"/>
        <v>0</v>
      </c>
      <c r="J71" s="51"/>
      <c r="K71" s="112"/>
      <c r="L71" s="53">
        <f t="shared" si="3"/>
        <v>0</v>
      </c>
      <c r="M71" s="112"/>
      <c r="N71" s="53">
        <f t="shared" si="5"/>
        <v>0</v>
      </c>
      <c r="O71" s="53">
        <f t="shared" si="6"/>
        <v>0</v>
      </c>
      <c r="P71" s="1"/>
    </row>
    <row r="72" spans="2:16">
      <c r="C72" s="49">
        <f>IF(D12="","-",+C71+1)</f>
        <v>2073</v>
      </c>
      <c r="D72" s="54">
        <f>IF(F71+SUM(E$17:E71)=D$10,F71,D$10-SUM(E$17:E71))</f>
        <v>0</v>
      </c>
      <c r="E72" s="377">
        <f>IF(+I$14&lt;F71,I$14,D72)</f>
        <v>0</v>
      </c>
      <c r="F72" s="54">
        <f>+D72-E72</f>
        <v>0</v>
      </c>
      <c r="G72" s="388">
        <f>(D72+F72)/2*I$12+E72</f>
        <v>0</v>
      </c>
      <c r="H72" s="359">
        <f>+(D72+F72)/2*I$13+E72</f>
        <v>0</v>
      </c>
      <c r="I72" s="51">
        <f>H72-G72</f>
        <v>0</v>
      </c>
      <c r="J72" s="51"/>
      <c r="K72" s="112"/>
      <c r="L72" s="53">
        <f>IF(K72&lt;&gt;0,+G72-K72,0)</f>
        <v>0</v>
      </c>
      <c r="M72" s="112"/>
      <c r="N72" s="53">
        <f>IF(M72&lt;&gt;0,+H72-M72,0)</f>
        <v>0</v>
      </c>
      <c r="O72" s="53">
        <f>+N72-L72</f>
        <v>0</v>
      </c>
      <c r="P72" s="1"/>
    </row>
    <row r="73" spans="2:16" ht="13.5" thickBot="1">
      <c r="B73" t="str">
        <f>IF(D73=F71,"","IU")</f>
        <v/>
      </c>
      <c r="C73" s="58">
        <f>IF(D13="","-",+C72+1)</f>
        <v>2074</v>
      </c>
      <c r="D73" s="389">
        <f>IF(F72+SUM(E$17:E72)=D$10,F72,D$10-SUM(E$17:E72))</f>
        <v>0</v>
      </c>
      <c r="E73" s="389">
        <f>IF(+I$14&lt;F72,I$14,D73)</f>
        <v>0</v>
      </c>
      <c r="F73" s="59">
        <f>+D73-E73</f>
        <v>0</v>
      </c>
      <c r="G73" s="390">
        <f>(D73+F73)/2*I$12+E73</f>
        <v>0</v>
      </c>
      <c r="H73" s="357">
        <f>+(D73+F73)/2*I$13+E73</f>
        <v>0</v>
      </c>
      <c r="I73" s="62">
        <f>H73-G73</f>
        <v>0</v>
      </c>
      <c r="J73" s="51"/>
      <c r="K73" s="113"/>
      <c r="L73" s="63">
        <f>IF(K73&lt;&gt;0,+G73-K73,0)</f>
        <v>0</v>
      </c>
      <c r="M73" s="113"/>
      <c r="N73" s="63">
        <f>IF(M73&lt;&gt;0,+H73-M73,0)</f>
        <v>0</v>
      </c>
      <c r="O73" s="63">
        <f>+N73-L73</f>
        <v>0</v>
      </c>
      <c r="P73" s="1"/>
    </row>
    <row r="74" spans="2:16">
      <c r="C74" s="11" t="s">
        <v>75</v>
      </c>
      <c r="D74" s="242"/>
      <c r="E74" s="242">
        <f>SUM(E17:E73)</f>
        <v>17093290.000000004</v>
      </c>
      <c r="F74" s="242"/>
      <c r="G74" s="242">
        <f>SUM(G17:G73)</f>
        <v>47729654.826299459</v>
      </c>
      <c r="H74" s="242">
        <f>SUM(H17:H73)</f>
        <v>47729654.826299459</v>
      </c>
      <c r="I74" s="242">
        <f>SUM(I17:I73)</f>
        <v>0</v>
      </c>
      <c r="J74" s="242"/>
      <c r="K74" s="242"/>
      <c r="L74" s="242"/>
      <c r="M74" s="242"/>
      <c r="N74" s="242"/>
      <c r="O74" s="1"/>
      <c r="P74" s="1"/>
    </row>
    <row r="75" spans="2:16">
      <c r="D75" s="2"/>
      <c r="E75" s="1"/>
      <c r="F75" s="1"/>
      <c r="G75" s="1"/>
      <c r="H75" s="260"/>
      <c r="I75" s="260"/>
      <c r="J75" s="242"/>
      <c r="K75" s="260"/>
      <c r="L75" s="260"/>
      <c r="M75" s="260"/>
      <c r="N75" s="260"/>
      <c r="O75" s="1"/>
      <c r="P75" s="1"/>
    </row>
    <row r="76" spans="2:16">
      <c r="C76" s="29" t="s">
        <v>95</v>
      </c>
      <c r="D76" s="2"/>
      <c r="E76" s="1"/>
      <c r="F76" s="1"/>
      <c r="G76" s="1"/>
      <c r="H76" s="260"/>
      <c r="I76" s="260"/>
      <c r="J76" s="242"/>
      <c r="K76" s="260"/>
      <c r="L76" s="260"/>
      <c r="M76" s="260"/>
      <c r="N76" s="260"/>
      <c r="O76" s="1"/>
      <c r="P76" s="1"/>
    </row>
    <row r="77" spans="2:16">
      <c r="C77" s="25" t="s">
        <v>76</v>
      </c>
      <c r="D77" s="2"/>
      <c r="E77" s="1"/>
      <c r="F77" s="1"/>
      <c r="G77" s="1"/>
      <c r="H77" s="260"/>
      <c r="I77" s="260"/>
      <c r="J77" s="242"/>
      <c r="K77" s="260"/>
      <c r="L77" s="260"/>
      <c r="M77" s="260"/>
      <c r="N77" s="260"/>
      <c r="O77" s="1"/>
      <c r="P77" s="1"/>
    </row>
    <row r="78" spans="2:16">
      <c r="C78" s="25" t="s">
        <v>77</v>
      </c>
      <c r="D78" s="11"/>
      <c r="E78" s="11"/>
      <c r="F78" s="11"/>
      <c r="G78" s="242"/>
      <c r="H78" s="242"/>
      <c r="I78" s="64"/>
      <c r="J78" s="64"/>
      <c r="K78" s="64"/>
      <c r="L78" s="64"/>
      <c r="M78" s="64"/>
      <c r="N78" s="64"/>
      <c r="O78" s="1"/>
      <c r="P78" s="1"/>
    </row>
    <row r="79" spans="2:16">
      <c r="C79" s="25"/>
      <c r="D79" s="11"/>
      <c r="E79" s="11"/>
      <c r="F79" s="11"/>
      <c r="G79" s="242"/>
      <c r="H79" s="242"/>
      <c r="I79" s="64"/>
      <c r="J79" s="64"/>
      <c r="K79" s="64"/>
      <c r="L79" s="64"/>
      <c r="M79" s="64"/>
      <c r="N79" s="64"/>
      <c r="O79" s="1"/>
      <c r="P79" s="1"/>
    </row>
    <row r="80" spans="2:16">
      <c r="B80" s="1"/>
      <c r="C80" s="1"/>
      <c r="D80" s="2"/>
      <c r="E80" s="1"/>
      <c r="F80" s="11"/>
      <c r="G80" s="1"/>
      <c r="H80" s="260"/>
      <c r="I80" s="1"/>
      <c r="J80" s="1"/>
      <c r="K80" s="1"/>
      <c r="L80" s="1"/>
      <c r="M80" s="1"/>
      <c r="N80" s="1"/>
      <c r="O80" s="1"/>
      <c r="P80" s="1"/>
    </row>
    <row r="81" spans="1:16" ht="18">
      <c r="B81" s="1"/>
      <c r="C81" s="92"/>
      <c r="D81" s="2"/>
      <c r="E81" s="1"/>
      <c r="F81" s="11"/>
      <c r="G81" s="1"/>
      <c r="H81" s="260"/>
      <c r="I81" s="1"/>
      <c r="J81" s="1"/>
      <c r="K81" s="1"/>
      <c r="L81" s="1"/>
      <c r="M81" s="1"/>
      <c r="N81" s="1"/>
      <c r="P81" s="94" t="s">
        <v>128</v>
      </c>
    </row>
    <row r="82" spans="1:16">
      <c r="B82" s="1"/>
      <c r="C82" s="1"/>
      <c r="D82" s="2"/>
      <c r="E82" s="1"/>
      <c r="F82" s="11"/>
      <c r="G82" s="1"/>
      <c r="H82" s="260"/>
      <c r="I82" s="1"/>
      <c r="J82" s="1"/>
      <c r="K82" s="1"/>
      <c r="L82" s="1"/>
      <c r="M82" s="1"/>
      <c r="N82" s="1"/>
      <c r="O82" s="1"/>
      <c r="P82" s="1"/>
    </row>
    <row r="83" spans="1:16">
      <c r="B83" s="1"/>
      <c r="C83" s="1"/>
      <c r="D83" s="2"/>
      <c r="E83" s="1"/>
      <c r="F83" s="11"/>
      <c r="G83" s="1"/>
      <c r="H83" s="260"/>
      <c r="I83" s="1"/>
      <c r="J83" s="1"/>
      <c r="K83" s="1"/>
      <c r="L83" s="1"/>
      <c r="M83" s="1"/>
      <c r="N83" s="1"/>
      <c r="O83" s="1"/>
      <c r="P83" s="1"/>
    </row>
    <row r="84" spans="1:16" ht="20.25">
      <c r="A84" s="93" t="s">
        <v>190</v>
      </c>
      <c r="B84" s="1"/>
      <c r="C84" s="1"/>
      <c r="D84" s="2"/>
      <c r="E84" s="1"/>
      <c r="F84" s="7"/>
      <c r="G84" s="7"/>
      <c r="H84" s="1"/>
      <c r="I84" s="260"/>
      <c r="L84" s="12"/>
      <c r="M84" s="12"/>
      <c r="P84" s="12" t="str">
        <f ca="1">P1</f>
        <v>OKT Project 19 of 26</v>
      </c>
    </row>
    <row r="85" spans="1:16" ht="18">
      <c r="B85" s="1"/>
      <c r="C85" s="1"/>
      <c r="D85" s="2"/>
      <c r="E85" s="1"/>
      <c r="F85" s="1"/>
      <c r="G85" s="1"/>
      <c r="H85" s="1"/>
      <c r="I85" s="260"/>
      <c r="J85" s="1"/>
      <c r="K85" s="1"/>
      <c r="L85" s="1"/>
      <c r="M85" s="1"/>
      <c r="P85" s="99" t="s">
        <v>132</v>
      </c>
    </row>
    <row r="86" spans="1:16" ht="18.75" thickBot="1">
      <c r="B86" s="4" t="s">
        <v>42</v>
      </c>
      <c r="C86" s="66" t="s">
        <v>81</v>
      </c>
      <c r="D86" s="2"/>
      <c r="E86" s="1"/>
      <c r="F86" s="1"/>
      <c r="G86" s="1"/>
      <c r="H86" s="1"/>
      <c r="I86" s="260"/>
      <c r="J86" s="260"/>
      <c r="K86" s="242"/>
      <c r="L86" s="260"/>
      <c r="M86" s="260"/>
      <c r="N86" s="260"/>
      <c r="O86" s="242"/>
      <c r="P86" s="1"/>
    </row>
    <row r="87" spans="1:16" ht="15.75" thickBot="1">
      <c r="C87" s="250"/>
      <c r="D87" s="2"/>
      <c r="E87" s="1"/>
      <c r="F87" s="1"/>
      <c r="G87" s="1"/>
      <c r="H87" s="1"/>
      <c r="I87" s="260"/>
      <c r="J87" s="260"/>
      <c r="K87" s="242"/>
      <c r="L87" s="100">
        <f>+J93</f>
        <v>2025</v>
      </c>
      <c r="M87" s="392" t="s">
        <v>9</v>
      </c>
      <c r="N87" s="393" t="s">
        <v>134</v>
      </c>
      <c r="O87" s="394" t="s">
        <v>11</v>
      </c>
      <c r="P87" s="1"/>
    </row>
    <row r="88" spans="1:16" ht="15">
      <c r="C88" s="90" t="s">
        <v>44</v>
      </c>
      <c r="D88" s="2"/>
      <c r="E88" s="1"/>
      <c r="F88" s="1"/>
      <c r="G88" s="1"/>
      <c r="H88" s="349"/>
      <c r="I88" s="1" t="s">
        <v>45</v>
      </c>
      <c r="J88" s="1"/>
      <c r="K88" s="104"/>
      <c r="L88" s="395" t="s">
        <v>253</v>
      </c>
      <c r="M88" s="396">
        <f>IF(J93&lt;D11,0,VLOOKUP(J93,C17:O73,9))</f>
        <v>2181573.5812472668</v>
      </c>
      <c r="N88" s="396">
        <f>IF(J93&lt;D11,0,VLOOKUP(J93,C17:O73,11))</f>
        <v>2181573.5812472668</v>
      </c>
      <c r="O88" s="68">
        <f>+N88-M88</f>
        <v>0</v>
      </c>
      <c r="P88" s="1"/>
    </row>
    <row r="89" spans="1:16" ht="15.75">
      <c r="C89" s="6"/>
      <c r="D89" s="2"/>
      <c r="E89" s="1"/>
      <c r="F89" s="1"/>
      <c r="G89" s="1"/>
      <c r="H89" s="1"/>
      <c r="I89" s="351"/>
      <c r="J89" s="351"/>
      <c r="K89" s="397"/>
      <c r="L89" s="398" t="s">
        <v>254</v>
      </c>
      <c r="M89" s="399">
        <f>IF(J93&lt;D11,0,VLOOKUP(J93,C100:P155,6))</f>
        <v>1867901.8870733767</v>
      </c>
      <c r="N89" s="399">
        <f>IF(J93&lt;D11,0,VLOOKUP(J93,C100:P155,7))</f>
        <v>1867901.8870733767</v>
      </c>
      <c r="O89" s="70">
        <f>+N89-M89</f>
        <v>0</v>
      </c>
      <c r="P89" s="1"/>
    </row>
    <row r="90" spans="1:16" ht="13.5" thickBot="1">
      <c r="C90" s="25" t="s">
        <v>82</v>
      </c>
      <c r="D90" s="96" t="str">
        <f>+D7</f>
        <v>Fort Towson-Valliant 69 KV Line Rebuild</v>
      </c>
      <c r="E90" s="1"/>
      <c r="F90" s="1"/>
      <c r="G90" s="1"/>
      <c r="H90" s="1"/>
      <c r="I90" s="260"/>
      <c r="J90" s="260"/>
      <c r="K90" s="400"/>
      <c r="L90" s="109" t="s">
        <v>135</v>
      </c>
      <c r="M90" s="401">
        <f>+M89-M88</f>
        <v>-313671.69417389017</v>
      </c>
      <c r="N90" s="401">
        <f>+N89-N88</f>
        <v>-313671.69417389017</v>
      </c>
      <c r="O90" s="402">
        <f>+O89-O88</f>
        <v>0</v>
      </c>
      <c r="P90" s="1"/>
    </row>
    <row r="91" spans="1:16" ht="13.5" thickBot="1">
      <c r="C91" s="29"/>
      <c r="D91" s="65" t="str">
        <f>IF(D8="","",D8)</f>
        <v/>
      </c>
      <c r="E91" s="11"/>
      <c r="F91" s="11"/>
      <c r="G91" s="11"/>
      <c r="H91" s="10"/>
      <c r="I91" s="260"/>
      <c r="J91" s="260"/>
      <c r="K91" s="242"/>
      <c r="L91" s="260"/>
      <c r="M91" s="260"/>
      <c r="N91" s="260"/>
      <c r="O91" s="242"/>
      <c r="P91" s="1"/>
    </row>
    <row r="92" spans="1:16" ht="13.5" thickBot="1">
      <c r="C92" s="74" t="s">
        <v>83</v>
      </c>
      <c r="D92" s="88" t="str">
        <f>+D9</f>
        <v>TP2015204</v>
      </c>
      <c r="E92" s="75" t="s">
        <v>310</v>
      </c>
      <c r="F92" s="527">
        <f>F9</f>
        <v>31058</v>
      </c>
      <c r="G92" s="75"/>
      <c r="H92" s="75"/>
      <c r="I92" s="75"/>
      <c r="J92" s="75"/>
    </row>
    <row r="93" spans="1:16">
      <c r="C93" s="34" t="s">
        <v>49</v>
      </c>
      <c r="D93" s="38">
        <v>17093290</v>
      </c>
      <c r="E93" s="1" t="s">
        <v>84</v>
      </c>
      <c r="H93" s="2"/>
      <c r="I93" s="2"/>
      <c r="J93" s="36">
        <f>+'OKT.WS.G.BPU.ATRR.True-up'!M16</f>
        <v>2025</v>
      </c>
      <c r="K93" s="33"/>
      <c r="L93" s="242" t="s">
        <v>85</v>
      </c>
      <c r="P93" s="1"/>
    </row>
    <row r="94" spans="1:16">
      <c r="C94" s="34" t="s">
        <v>52</v>
      </c>
      <c r="D94" s="85">
        <f>IF(D11="","",D11)</f>
        <v>2018</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85">
        <f>IF(D12="","",D12)</f>
        <v>12</v>
      </c>
      <c r="E95" s="34" t="s">
        <v>55</v>
      </c>
      <c r="F95" s="2"/>
      <c r="G95" s="2"/>
      <c r="J95" s="40">
        <f>'OKT.WS.G.BPU.ATRR.True-up'!$F$81</f>
        <v>0.11246496061127743</v>
      </c>
      <c r="K95" s="7"/>
      <c r="L95" t="s">
        <v>86</v>
      </c>
      <c r="P95" s="1"/>
    </row>
    <row r="96" spans="1:16">
      <c r="C96" s="34" t="s">
        <v>57</v>
      </c>
      <c r="D96" s="38">
        <f>'OKT.WS.G.BPU.ATRR.True-up'!F$93</f>
        <v>32</v>
      </c>
      <c r="E96" s="34" t="s">
        <v>58</v>
      </c>
      <c r="F96" s="2"/>
      <c r="G96" s="2"/>
      <c r="J96" s="40">
        <f>IF(H88="",J95,'OKT.WS.G.BPU.ATRR.True-up'!$F$80)</f>
        <v>0.11246496061127743</v>
      </c>
      <c r="K96" s="7"/>
      <c r="L96" s="242" t="s">
        <v>59</v>
      </c>
      <c r="M96" s="7"/>
      <c r="N96" s="7"/>
      <c r="O96" s="7"/>
      <c r="P96" s="1"/>
    </row>
    <row r="97" spans="1:16" ht="13.5" thickBot="1">
      <c r="C97" s="34" t="s">
        <v>60</v>
      </c>
      <c r="D97" s="86" t="str">
        <f>+D14</f>
        <v>No</v>
      </c>
      <c r="E97" s="71" t="s">
        <v>62</v>
      </c>
      <c r="F97" s="76"/>
      <c r="G97" s="76"/>
      <c r="H97" s="77"/>
      <c r="I97" s="77"/>
      <c r="J97" s="357">
        <f>IF(D93=0,0,D93/D96)</f>
        <v>534165.3125</v>
      </c>
      <c r="K97" s="242"/>
      <c r="L97" s="242"/>
      <c r="M97" s="242"/>
      <c r="N97" s="242"/>
      <c r="O97" s="242"/>
      <c r="P97" s="1"/>
    </row>
    <row r="98" spans="1:16"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row>
    <row r="99" spans="1:16" ht="13.5" thickBot="1">
      <c r="C99" s="46" t="s">
        <v>68</v>
      </c>
      <c r="D99" s="80" t="s">
        <v>69</v>
      </c>
      <c r="E99" s="46" t="s">
        <v>70</v>
      </c>
      <c r="F99" s="46" t="s">
        <v>69</v>
      </c>
      <c r="G99" s="46" t="s">
        <v>69</v>
      </c>
      <c r="H99" s="369" t="s">
        <v>71</v>
      </c>
      <c r="I99" s="367" t="s">
        <v>72</v>
      </c>
      <c r="J99" s="46" t="s">
        <v>93</v>
      </c>
      <c r="K99" s="44"/>
      <c r="L99" s="368" t="s">
        <v>74</v>
      </c>
      <c r="M99" s="368" t="s">
        <v>74</v>
      </c>
      <c r="N99" s="368" t="s">
        <v>94</v>
      </c>
      <c r="O99" s="368" t="s">
        <v>94</v>
      </c>
      <c r="P99" s="368" t="s">
        <v>94</v>
      </c>
    </row>
    <row r="100" spans="1:16">
      <c r="B100" t="str">
        <f t="shared" ref="B100:B155" si="25">IF(D100=F99,"","IU")</f>
        <v>IU</v>
      </c>
      <c r="C100" s="49">
        <f>IF(D94= "","-",D94)</f>
        <v>2018</v>
      </c>
      <c r="D100" s="371">
        <v>15445577.166666666</v>
      </c>
      <c r="E100" s="373">
        <v>435826.05555555556</v>
      </c>
      <c r="F100" s="375">
        <v>15009751.11111111</v>
      </c>
      <c r="G100" s="375">
        <v>15227664.138888888</v>
      </c>
      <c r="H100" s="373">
        <v>2043295.5761149421</v>
      </c>
      <c r="I100" s="374">
        <v>2043295.5761149421</v>
      </c>
      <c r="J100" s="53">
        <f t="shared" ref="J100:J131" si="26">+I100-H100</f>
        <v>0</v>
      </c>
      <c r="K100" s="53"/>
      <c r="L100" s="376">
        <f>+H100</f>
        <v>2043295.5761149421</v>
      </c>
      <c r="M100" s="53">
        <f t="shared" ref="M100" si="27">IF(L100&lt;&gt;0,+H100-L100,0)</f>
        <v>0</v>
      </c>
      <c r="N100" s="376">
        <f>+I100</f>
        <v>2043295.5761149421</v>
      </c>
      <c r="O100" s="413">
        <f t="shared" ref="O100" si="28">IF(N100&lt;&gt;0,+I100-N100,0)</f>
        <v>0</v>
      </c>
      <c r="P100" s="53">
        <f t="shared" ref="P100" si="29">+O100-M100</f>
        <v>0</v>
      </c>
    </row>
    <row r="101" spans="1:16">
      <c r="B101" t="str">
        <f t="shared" si="25"/>
        <v>IU</v>
      </c>
      <c r="C101" s="49">
        <f>IF(D94="","-",+C100+1)</f>
        <v>2019</v>
      </c>
      <c r="D101" s="371">
        <v>16656350.944444444</v>
      </c>
      <c r="E101" s="373">
        <v>517944.75757575757</v>
      </c>
      <c r="F101" s="375">
        <v>16138406.186868686</v>
      </c>
      <c r="G101" s="375">
        <v>16397378.565656565</v>
      </c>
      <c r="H101" s="373">
        <v>2289012.9236645</v>
      </c>
      <c r="I101" s="374">
        <v>2289012.9236645</v>
      </c>
      <c r="J101" s="53">
        <f t="shared" si="26"/>
        <v>0</v>
      </c>
      <c r="K101" s="53"/>
      <c r="L101" s="376">
        <f t="shared" ref="L101:L106" si="30">H101</f>
        <v>2289012.9236645</v>
      </c>
      <c r="M101" s="53">
        <f t="shared" ref="M101:M106" si="31">IF(L101&lt;&gt;0,+H101-L101,0)</f>
        <v>0</v>
      </c>
      <c r="N101" s="376">
        <f t="shared" ref="N101:N106" si="32">I101</f>
        <v>2289012.9236645</v>
      </c>
      <c r="O101" s="53">
        <f t="shared" ref="O101:O131" si="33">IF(N101&lt;&gt;0,+I101-N101,0)</f>
        <v>0</v>
      </c>
      <c r="P101" s="53">
        <f t="shared" ref="P101:P131" si="34">+O101-M101</f>
        <v>0</v>
      </c>
    </row>
    <row r="102" spans="1:16">
      <c r="B102" t="str">
        <f t="shared" si="25"/>
        <v>IU</v>
      </c>
      <c r="C102" s="49">
        <f>IF(D94="","-",+C101+1)</f>
        <v>2020</v>
      </c>
      <c r="D102" s="371">
        <v>16139509.186868686</v>
      </c>
      <c r="E102" s="373">
        <v>610474.28571428568</v>
      </c>
      <c r="F102" s="375">
        <v>15529034.901154401</v>
      </c>
      <c r="G102" s="375">
        <v>15834272.044011544</v>
      </c>
      <c r="H102" s="373">
        <v>2295454.5775651671</v>
      </c>
      <c r="I102" s="374">
        <v>2295454.5775651671</v>
      </c>
      <c r="J102" s="53">
        <f t="shared" si="26"/>
        <v>0</v>
      </c>
      <c r="K102" s="53"/>
      <c r="L102" s="376">
        <f t="shared" si="30"/>
        <v>2295454.5775651671</v>
      </c>
      <c r="M102" s="53">
        <f t="shared" si="31"/>
        <v>0</v>
      </c>
      <c r="N102" s="376">
        <f t="shared" si="32"/>
        <v>2295454.5775651671</v>
      </c>
      <c r="O102" s="53">
        <f t="shared" si="33"/>
        <v>0</v>
      </c>
      <c r="P102" s="53">
        <f t="shared" si="34"/>
        <v>0</v>
      </c>
    </row>
    <row r="103" spans="1:16">
      <c r="B103" t="str">
        <f t="shared" si="25"/>
        <v>IU</v>
      </c>
      <c r="C103" s="49">
        <f>IF(D94="","-",+C102+1)</f>
        <v>2021</v>
      </c>
      <c r="D103" s="371">
        <v>15529045.901154401</v>
      </c>
      <c r="E103" s="373">
        <v>683731.64</v>
      </c>
      <c r="F103" s="375">
        <v>14845314.2611544</v>
      </c>
      <c r="G103" s="375">
        <v>15187180.0811544</v>
      </c>
      <c r="H103" s="373">
        <v>2475241.9762378884</v>
      </c>
      <c r="I103" s="374">
        <v>2475241.9762378884</v>
      </c>
      <c r="J103" s="53">
        <f t="shared" si="26"/>
        <v>0</v>
      </c>
      <c r="K103" s="53"/>
      <c r="L103" s="376">
        <f t="shared" si="30"/>
        <v>2475241.9762378884</v>
      </c>
      <c r="M103" s="53">
        <f t="shared" si="31"/>
        <v>0</v>
      </c>
      <c r="N103" s="376">
        <f t="shared" si="32"/>
        <v>2475241.9762378884</v>
      </c>
      <c r="O103" s="53">
        <f t="shared" si="33"/>
        <v>0</v>
      </c>
      <c r="P103" s="53">
        <f t="shared" si="34"/>
        <v>0</v>
      </c>
    </row>
    <row r="104" spans="1:16">
      <c r="B104" t="str">
        <f t="shared" si="25"/>
        <v/>
      </c>
      <c r="C104" s="49">
        <f>IF(D94="","-",+C103+1)</f>
        <v>2022</v>
      </c>
      <c r="D104" s="371">
        <v>14845314.2611544</v>
      </c>
      <c r="E104" s="373">
        <v>813966.23809523811</v>
      </c>
      <c r="F104" s="375">
        <v>14031348.023059161</v>
      </c>
      <c r="G104" s="375">
        <v>14438331.142106781</v>
      </c>
      <c r="H104" s="373">
        <v>2473883.6471460098</v>
      </c>
      <c r="I104" s="374">
        <v>2473883.6471460098</v>
      </c>
      <c r="J104" s="53">
        <f t="shared" si="26"/>
        <v>0</v>
      </c>
      <c r="K104" s="53"/>
      <c r="L104" s="376">
        <f t="shared" si="30"/>
        <v>2473883.6471460098</v>
      </c>
      <c r="M104" s="53">
        <f t="shared" si="31"/>
        <v>0</v>
      </c>
      <c r="N104" s="376">
        <f t="shared" si="32"/>
        <v>2473883.6471460098</v>
      </c>
      <c r="O104" s="53">
        <f t="shared" ref="O104" si="35">IF(N104&lt;&gt;0,+I104-N104,0)</f>
        <v>0</v>
      </c>
      <c r="P104" s="53">
        <f t="shared" ref="P104" si="36">+O104-M104</f>
        <v>0</v>
      </c>
    </row>
    <row r="105" spans="1:16">
      <c r="B105" t="str">
        <f t="shared" si="25"/>
        <v>IU</v>
      </c>
      <c r="C105" s="49">
        <f>IF(D94="","-",+C104+1)</f>
        <v>2023</v>
      </c>
      <c r="D105" s="371">
        <v>14031347.023059163</v>
      </c>
      <c r="E105" s="373">
        <v>899646.84210526315</v>
      </c>
      <c r="F105" s="375">
        <v>13131700.180953899</v>
      </c>
      <c r="G105" s="375">
        <v>13581523.602006532</v>
      </c>
      <c r="H105" s="373">
        <v>2388645.7763541322</v>
      </c>
      <c r="I105" s="374">
        <v>2388645.7763541322</v>
      </c>
      <c r="J105" s="53">
        <f t="shared" si="26"/>
        <v>0</v>
      </c>
      <c r="K105" s="53"/>
      <c r="L105" s="376">
        <f t="shared" si="30"/>
        <v>2388645.7763541322</v>
      </c>
      <c r="M105" s="53">
        <f t="shared" si="31"/>
        <v>0</v>
      </c>
      <c r="N105" s="376">
        <f t="shared" si="32"/>
        <v>2388645.7763541322</v>
      </c>
      <c r="O105" s="53">
        <f t="shared" ref="O105" si="37">IF(N105&lt;&gt;0,+I105-N105,0)</f>
        <v>0</v>
      </c>
      <c r="P105" s="53">
        <f t="shared" ref="P105" si="38">+O105-M105</f>
        <v>0</v>
      </c>
    </row>
    <row r="106" spans="1:16">
      <c r="B106" t="str">
        <f t="shared" si="25"/>
        <v/>
      </c>
      <c r="C106" s="49">
        <f>IF(D94="","-",+C105+1)</f>
        <v>2024</v>
      </c>
      <c r="D106" s="371">
        <v>13131700.180953899</v>
      </c>
      <c r="E106" s="373">
        <v>1005487.6470588235</v>
      </c>
      <c r="F106" s="375">
        <v>12126212.533895075</v>
      </c>
      <c r="G106" s="375">
        <v>12628956.357424486</v>
      </c>
      <c r="H106" s="373">
        <v>2403831.4307179204</v>
      </c>
      <c r="I106" s="374">
        <v>2403831.4307179204</v>
      </c>
      <c r="J106" s="53">
        <f t="shared" si="26"/>
        <v>0</v>
      </c>
      <c r="K106" s="53"/>
      <c r="L106" s="376">
        <f t="shared" si="30"/>
        <v>2403831.4307179204</v>
      </c>
      <c r="M106" s="53">
        <f t="shared" si="31"/>
        <v>0</v>
      </c>
      <c r="N106" s="376">
        <f t="shared" si="32"/>
        <v>2403831.4307179204</v>
      </c>
      <c r="O106" s="53">
        <f t="shared" ref="O106" si="39">IF(N106&lt;&gt;0,+I106-N106,0)</f>
        <v>0</v>
      </c>
      <c r="P106" s="53">
        <f t="shared" ref="P106" si="40">+O106-M106</f>
        <v>0</v>
      </c>
    </row>
    <row r="107" spans="1:16">
      <c r="B107" t="str">
        <f t="shared" si="25"/>
        <v/>
      </c>
      <c r="C107" s="49">
        <f>IF(D94="","-",+C106+1)</f>
        <v>2025</v>
      </c>
      <c r="D107" s="11">
        <f>IF(F106+SUM(E$100:E106)=D$93,F106,D$93-SUM(E$100:E106))</f>
        <v>12126212.533895075</v>
      </c>
      <c r="E107" s="377">
        <f t="shared" ref="E107:E155" si="41">IF(+J$97&lt;F106,J$97,D107)</f>
        <v>534165.3125</v>
      </c>
      <c r="F107" s="54">
        <f t="shared" ref="F107:F155" si="42">+D107-E107</f>
        <v>11592047.221395075</v>
      </c>
      <c r="G107" s="54">
        <f t="shared" ref="G107:G155" si="43">+(F107+D107)/2</f>
        <v>11859129.877645075</v>
      </c>
      <c r="H107" s="459">
        <f t="shared" ref="H107:H155" si="44">(D107+F107)/2*J$95+E107</f>
        <v>1867901.8870733767</v>
      </c>
      <c r="I107" s="446">
        <f t="shared" ref="I107:I155" si="45">+J$96*G107+E107</f>
        <v>1867901.8870733767</v>
      </c>
      <c r="J107" s="53">
        <f t="shared" si="26"/>
        <v>0</v>
      </c>
      <c r="K107" s="53"/>
      <c r="L107" s="112"/>
      <c r="M107" s="53">
        <f t="shared" ref="M107:M131" si="46">IF(L107&lt;&gt;0,+H107-L107,0)</f>
        <v>0</v>
      </c>
      <c r="N107" s="112"/>
      <c r="O107" s="53">
        <f t="shared" si="33"/>
        <v>0</v>
      </c>
      <c r="P107" s="53">
        <f t="shared" si="34"/>
        <v>0</v>
      </c>
    </row>
    <row r="108" spans="1:16">
      <c r="B108" t="str">
        <f t="shared" si="25"/>
        <v/>
      </c>
      <c r="C108" s="49">
        <f>IF(D94="","-",+C107+1)</f>
        <v>2026</v>
      </c>
      <c r="D108" s="11">
        <f>IF(F107+SUM(E$100:E107)=D$93,F107,D$93-SUM(E$100:E107))</f>
        <v>11592047.221395075</v>
      </c>
      <c r="E108" s="377">
        <f t="shared" si="41"/>
        <v>534165.3125</v>
      </c>
      <c r="F108" s="54">
        <f t="shared" si="42"/>
        <v>11057881.908895075</v>
      </c>
      <c r="G108" s="54">
        <f t="shared" si="43"/>
        <v>11324964.565145075</v>
      </c>
      <c r="H108" s="459">
        <f t="shared" si="44"/>
        <v>1807827.0062431535</v>
      </c>
      <c r="I108" s="446">
        <f t="shared" si="45"/>
        <v>1807827.0062431535</v>
      </c>
      <c r="J108" s="53">
        <f t="shared" si="26"/>
        <v>0</v>
      </c>
      <c r="K108" s="53"/>
      <c r="L108" s="112"/>
      <c r="M108" s="53">
        <f t="shared" si="46"/>
        <v>0</v>
      </c>
      <c r="N108" s="112"/>
      <c r="O108" s="53">
        <f t="shared" si="33"/>
        <v>0</v>
      </c>
      <c r="P108" s="53">
        <f t="shared" si="34"/>
        <v>0</v>
      </c>
    </row>
    <row r="109" spans="1:16">
      <c r="B109" t="str">
        <f t="shared" si="25"/>
        <v/>
      </c>
      <c r="C109" s="49">
        <f>IF(D94="","-",+C108+1)</f>
        <v>2027</v>
      </c>
      <c r="D109" s="11">
        <f>IF(F108+SUM(E$100:E108)=D$93,F108,D$93-SUM(E$100:E108))</f>
        <v>11057881.908895075</v>
      </c>
      <c r="E109" s="377">
        <f t="shared" si="41"/>
        <v>534165.3125</v>
      </c>
      <c r="F109" s="54">
        <f t="shared" si="42"/>
        <v>10523716.596395075</v>
      </c>
      <c r="G109" s="54">
        <f t="shared" si="43"/>
        <v>10790799.252645075</v>
      </c>
      <c r="H109" s="459">
        <f t="shared" si="44"/>
        <v>1747752.1254129303</v>
      </c>
      <c r="I109" s="446">
        <f t="shared" si="45"/>
        <v>1747752.1254129303</v>
      </c>
      <c r="J109" s="53">
        <f t="shared" si="26"/>
        <v>0</v>
      </c>
      <c r="K109" s="53"/>
      <c r="L109" s="112"/>
      <c r="M109" s="53">
        <f t="shared" si="46"/>
        <v>0</v>
      </c>
      <c r="N109" s="112"/>
      <c r="O109" s="53">
        <f t="shared" si="33"/>
        <v>0</v>
      </c>
      <c r="P109" s="53">
        <f t="shared" si="34"/>
        <v>0</v>
      </c>
    </row>
    <row r="110" spans="1:16">
      <c r="B110" t="str">
        <f t="shared" si="25"/>
        <v/>
      </c>
      <c r="C110" s="49">
        <f>IF(D94="","-",+C109+1)</f>
        <v>2028</v>
      </c>
      <c r="D110" s="11">
        <f>IF(F109+SUM(E$100:E109)=D$93,F109,D$93-SUM(E$100:E109))</f>
        <v>10523716.596395075</v>
      </c>
      <c r="E110" s="377">
        <f t="shared" si="41"/>
        <v>534165.3125</v>
      </c>
      <c r="F110" s="54">
        <f t="shared" si="42"/>
        <v>9989551.2838950753</v>
      </c>
      <c r="G110" s="54">
        <f t="shared" si="43"/>
        <v>10256633.940145075</v>
      </c>
      <c r="H110" s="459">
        <f t="shared" si="44"/>
        <v>1687677.2445827071</v>
      </c>
      <c r="I110" s="446">
        <f t="shared" si="45"/>
        <v>1687677.2445827071</v>
      </c>
      <c r="J110" s="53">
        <f t="shared" si="26"/>
        <v>0</v>
      </c>
      <c r="K110" s="53"/>
      <c r="L110" s="112"/>
      <c r="M110" s="53">
        <f t="shared" si="46"/>
        <v>0</v>
      </c>
      <c r="N110" s="112"/>
      <c r="O110" s="53">
        <f t="shared" si="33"/>
        <v>0</v>
      </c>
      <c r="P110" s="53">
        <f t="shared" si="34"/>
        <v>0</v>
      </c>
    </row>
    <row r="111" spans="1:16">
      <c r="B111" t="str">
        <f t="shared" si="25"/>
        <v/>
      </c>
      <c r="C111" s="49">
        <f>IF(D94="","-",+C110+1)</f>
        <v>2029</v>
      </c>
      <c r="D111" s="11">
        <f>IF(F110+SUM(E$100:E110)=D$93,F110,D$93-SUM(E$100:E110))</f>
        <v>9989551.2838950753</v>
      </c>
      <c r="E111" s="377">
        <f t="shared" si="41"/>
        <v>534165.3125</v>
      </c>
      <c r="F111" s="54">
        <f t="shared" si="42"/>
        <v>9455385.9713950753</v>
      </c>
      <c r="G111" s="54">
        <f t="shared" si="43"/>
        <v>9722468.6276450753</v>
      </c>
      <c r="H111" s="459">
        <f t="shared" si="44"/>
        <v>1627602.3637524839</v>
      </c>
      <c r="I111" s="446">
        <f t="shared" si="45"/>
        <v>1627602.3637524839</v>
      </c>
      <c r="J111" s="53">
        <f t="shared" si="26"/>
        <v>0</v>
      </c>
      <c r="K111" s="53"/>
      <c r="L111" s="112"/>
      <c r="M111" s="53">
        <f t="shared" si="46"/>
        <v>0</v>
      </c>
      <c r="N111" s="112"/>
      <c r="O111" s="53">
        <f t="shared" si="33"/>
        <v>0</v>
      </c>
      <c r="P111" s="53">
        <f t="shared" si="34"/>
        <v>0</v>
      </c>
    </row>
    <row r="112" spans="1:16">
      <c r="B112" t="str">
        <f t="shared" si="25"/>
        <v/>
      </c>
      <c r="C112" s="49">
        <f>IF(D94="","-",+C111+1)</f>
        <v>2030</v>
      </c>
      <c r="D112" s="11">
        <f>IF(F111+SUM(E$100:E111)=D$93,F111,D$93-SUM(E$100:E111))</f>
        <v>9455385.9713950753</v>
      </c>
      <c r="E112" s="377">
        <f t="shared" si="41"/>
        <v>534165.3125</v>
      </c>
      <c r="F112" s="54">
        <f t="shared" si="42"/>
        <v>8921220.6588950753</v>
      </c>
      <c r="G112" s="54">
        <f t="shared" si="43"/>
        <v>9188303.3151450753</v>
      </c>
      <c r="H112" s="459">
        <f t="shared" si="44"/>
        <v>1567527.4829222606</v>
      </c>
      <c r="I112" s="446">
        <f t="shared" si="45"/>
        <v>1567527.4829222606</v>
      </c>
      <c r="J112" s="53">
        <f t="shared" si="26"/>
        <v>0</v>
      </c>
      <c r="K112" s="53"/>
      <c r="L112" s="112"/>
      <c r="M112" s="53">
        <f t="shared" si="46"/>
        <v>0</v>
      </c>
      <c r="N112" s="112"/>
      <c r="O112" s="53">
        <f t="shared" si="33"/>
        <v>0</v>
      </c>
      <c r="P112" s="53">
        <f t="shared" si="34"/>
        <v>0</v>
      </c>
    </row>
    <row r="113" spans="2:16">
      <c r="B113" t="str">
        <f t="shared" si="25"/>
        <v/>
      </c>
      <c r="C113" s="49">
        <f>IF(D94="","-",+C112+1)</f>
        <v>2031</v>
      </c>
      <c r="D113" s="11">
        <f>IF(F112+SUM(E$100:E112)=D$93,F112,D$93-SUM(E$100:E112))</f>
        <v>8921220.6588950753</v>
      </c>
      <c r="E113" s="377">
        <f t="shared" si="41"/>
        <v>534165.3125</v>
      </c>
      <c r="F113" s="54">
        <f t="shared" si="42"/>
        <v>8387055.3463950753</v>
      </c>
      <c r="G113" s="54">
        <f t="shared" si="43"/>
        <v>8654138.0026450753</v>
      </c>
      <c r="H113" s="459">
        <f t="shared" si="44"/>
        <v>1507452.6020920374</v>
      </c>
      <c r="I113" s="446">
        <f t="shared" si="45"/>
        <v>1507452.6020920374</v>
      </c>
      <c r="J113" s="53">
        <f t="shared" si="26"/>
        <v>0</v>
      </c>
      <c r="K113" s="53"/>
      <c r="L113" s="112"/>
      <c r="M113" s="53">
        <f t="shared" si="46"/>
        <v>0</v>
      </c>
      <c r="N113" s="112"/>
      <c r="O113" s="53">
        <f t="shared" si="33"/>
        <v>0</v>
      </c>
      <c r="P113" s="53">
        <f t="shared" si="34"/>
        <v>0</v>
      </c>
    </row>
    <row r="114" spans="2:16">
      <c r="B114" t="str">
        <f t="shared" si="25"/>
        <v/>
      </c>
      <c r="C114" s="49">
        <f>IF(D94="","-",+C113+1)</f>
        <v>2032</v>
      </c>
      <c r="D114" s="11">
        <f>IF(F113+SUM(E$100:E113)=D$93,F113,D$93-SUM(E$100:E113))</f>
        <v>8387055.3463950753</v>
      </c>
      <c r="E114" s="377">
        <f t="shared" si="41"/>
        <v>534165.3125</v>
      </c>
      <c r="F114" s="54">
        <f t="shared" si="42"/>
        <v>7852890.0338950753</v>
      </c>
      <c r="G114" s="54">
        <f t="shared" si="43"/>
        <v>8119972.6901450753</v>
      </c>
      <c r="H114" s="459">
        <f t="shared" si="44"/>
        <v>1447377.7212618142</v>
      </c>
      <c r="I114" s="446">
        <f t="shared" si="45"/>
        <v>1447377.7212618142</v>
      </c>
      <c r="J114" s="53">
        <f t="shared" si="26"/>
        <v>0</v>
      </c>
      <c r="K114" s="53"/>
      <c r="L114" s="112"/>
      <c r="M114" s="53">
        <f t="shared" si="46"/>
        <v>0</v>
      </c>
      <c r="N114" s="112"/>
      <c r="O114" s="53">
        <f t="shared" si="33"/>
        <v>0</v>
      </c>
      <c r="P114" s="53">
        <f t="shared" si="34"/>
        <v>0</v>
      </c>
    </row>
    <row r="115" spans="2:16">
      <c r="B115" t="str">
        <f t="shared" si="25"/>
        <v/>
      </c>
      <c r="C115" s="49">
        <f>IF(D94="","-",+C114+1)</f>
        <v>2033</v>
      </c>
      <c r="D115" s="11">
        <f>IF(F114+SUM(E$100:E114)=D$93,F114,D$93-SUM(E$100:E114))</f>
        <v>7852890.0338950753</v>
      </c>
      <c r="E115" s="377">
        <f t="shared" si="41"/>
        <v>534165.3125</v>
      </c>
      <c r="F115" s="54">
        <f t="shared" si="42"/>
        <v>7318724.7213950753</v>
      </c>
      <c r="G115" s="54">
        <f t="shared" si="43"/>
        <v>7585807.3776450753</v>
      </c>
      <c r="H115" s="459">
        <f t="shared" si="44"/>
        <v>1387302.840431591</v>
      </c>
      <c r="I115" s="446">
        <f t="shared" si="45"/>
        <v>1387302.840431591</v>
      </c>
      <c r="J115" s="53">
        <f t="shared" si="26"/>
        <v>0</v>
      </c>
      <c r="K115" s="53"/>
      <c r="L115" s="112"/>
      <c r="M115" s="53">
        <f t="shared" si="46"/>
        <v>0</v>
      </c>
      <c r="N115" s="112"/>
      <c r="O115" s="53">
        <f t="shared" si="33"/>
        <v>0</v>
      </c>
      <c r="P115" s="53">
        <f t="shared" si="34"/>
        <v>0</v>
      </c>
    </row>
    <row r="116" spans="2:16">
      <c r="B116" t="str">
        <f t="shared" si="25"/>
        <v/>
      </c>
      <c r="C116" s="49">
        <f>IF(D94="","-",+C115+1)</f>
        <v>2034</v>
      </c>
      <c r="D116" s="11">
        <f>IF(F115+SUM(E$100:E115)=D$93,F115,D$93-SUM(E$100:E115))</f>
        <v>7318724.7213950753</v>
      </c>
      <c r="E116" s="377">
        <f t="shared" si="41"/>
        <v>534165.3125</v>
      </c>
      <c r="F116" s="54">
        <f t="shared" si="42"/>
        <v>6784559.4088950753</v>
      </c>
      <c r="G116" s="54">
        <f t="shared" si="43"/>
        <v>7051642.0651450753</v>
      </c>
      <c r="H116" s="459">
        <f t="shared" si="44"/>
        <v>1327227.9596013678</v>
      </c>
      <c r="I116" s="446">
        <f t="shared" si="45"/>
        <v>1327227.9596013678</v>
      </c>
      <c r="J116" s="53">
        <f t="shared" si="26"/>
        <v>0</v>
      </c>
      <c r="K116" s="53"/>
      <c r="L116" s="112"/>
      <c r="M116" s="53">
        <f t="shared" si="46"/>
        <v>0</v>
      </c>
      <c r="N116" s="112"/>
      <c r="O116" s="53">
        <f t="shared" si="33"/>
        <v>0</v>
      </c>
      <c r="P116" s="53">
        <f t="shared" si="34"/>
        <v>0</v>
      </c>
    </row>
    <row r="117" spans="2:16">
      <c r="B117" t="str">
        <f t="shared" si="25"/>
        <v/>
      </c>
      <c r="C117" s="49">
        <f>IF(D94="","-",+C116+1)</f>
        <v>2035</v>
      </c>
      <c r="D117" s="11">
        <f>IF(F116+SUM(E$100:E116)=D$93,F116,D$93-SUM(E$100:E116))</f>
        <v>6784559.4088950753</v>
      </c>
      <c r="E117" s="377">
        <f t="shared" si="41"/>
        <v>534165.3125</v>
      </c>
      <c r="F117" s="54">
        <f t="shared" si="42"/>
        <v>6250394.0963950753</v>
      </c>
      <c r="G117" s="54">
        <f t="shared" si="43"/>
        <v>6517476.7526450753</v>
      </c>
      <c r="H117" s="459">
        <f t="shared" si="44"/>
        <v>1267153.0787711446</v>
      </c>
      <c r="I117" s="446">
        <f t="shared" si="45"/>
        <v>1267153.0787711446</v>
      </c>
      <c r="J117" s="53">
        <f t="shared" si="26"/>
        <v>0</v>
      </c>
      <c r="K117" s="53"/>
      <c r="L117" s="112"/>
      <c r="M117" s="53">
        <f t="shared" si="46"/>
        <v>0</v>
      </c>
      <c r="N117" s="112"/>
      <c r="O117" s="53">
        <f t="shared" si="33"/>
        <v>0</v>
      </c>
      <c r="P117" s="53">
        <f t="shared" si="34"/>
        <v>0</v>
      </c>
    </row>
    <row r="118" spans="2:16">
      <c r="B118" t="str">
        <f t="shared" si="25"/>
        <v/>
      </c>
      <c r="C118" s="49">
        <f>IF(D94="","-",+C117+1)</f>
        <v>2036</v>
      </c>
      <c r="D118" s="11">
        <f>IF(F117+SUM(E$100:E117)=D$93,F117,D$93-SUM(E$100:E117))</f>
        <v>6250394.0963950753</v>
      </c>
      <c r="E118" s="377">
        <f t="shared" si="41"/>
        <v>534165.3125</v>
      </c>
      <c r="F118" s="54">
        <f t="shared" si="42"/>
        <v>5716228.7838950753</v>
      </c>
      <c r="G118" s="54">
        <f t="shared" si="43"/>
        <v>5983311.4401450753</v>
      </c>
      <c r="H118" s="459">
        <f t="shared" si="44"/>
        <v>1207078.1979409214</v>
      </c>
      <c r="I118" s="446">
        <f t="shared" si="45"/>
        <v>1207078.1979409214</v>
      </c>
      <c r="J118" s="53">
        <f t="shared" si="26"/>
        <v>0</v>
      </c>
      <c r="K118" s="53"/>
      <c r="L118" s="112"/>
      <c r="M118" s="53">
        <f t="shared" si="46"/>
        <v>0</v>
      </c>
      <c r="N118" s="112"/>
      <c r="O118" s="53">
        <f t="shared" si="33"/>
        <v>0</v>
      </c>
      <c r="P118" s="53">
        <f t="shared" si="34"/>
        <v>0</v>
      </c>
    </row>
    <row r="119" spans="2:16">
      <c r="B119" t="str">
        <f t="shared" si="25"/>
        <v/>
      </c>
      <c r="C119" s="49">
        <f>IF(D94="","-",+C118+1)</f>
        <v>2037</v>
      </c>
      <c r="D119" s="11">
        <f>IF(F118+SUM(E$100:E118)=D$93,F118,D$93-SUM(E$100:E118))</f>
        <v>5716228.7838950753</v>
      </c>
      <c r="E119" s="377">
        <f t="shared" si="41"/>
        <v>534165.3125</v>
      </c>
      <c r="F119" s="54">
        <f t="shared" si="42"/>
        <v>5182063.4713950753</v>
      </c>
      <c r="G119" s="54">
        <f t="shared" si="43"/>
        <v>5449146.1276450753</v>
      </c>
      <c r="H119" s="459">
        <f t="shared" si="44"/>
        <v>1147003.3171106982</v>
      </c>
      <c r="I119" s="446">
        <f t="shared" si="45"/>
        <v>1147003.3171106982</v>
      </c>
      <c r="J119" s="53">
        <f t="shared" si="26"/>
        <v>0</v>
      </c>
      <c r="K119" s="53"/>
      <c r="L119" s="112"/>
      <c r="M119" s="53">
        <f t="shared" si="46"/>
        <v>0</v>
      </c>
      <c r="N119" s="112"/>
      <c r="O119" s="53">
        <f t="shared" si="33"/>
        <v>0</v>
      </c>
      <c r="P119" s="53">
        <f t="shared" si="34"/>
        <v>0</v>
      </c>
    </row>
    <row r="120" spans="2:16">
      <c r="B120" t="str">
        <f t="shared" si="25"/>
        <v/>
      </c>
      <c r="C120" s="49">
        <f>IF(D94="","-",+C119+1)</f>
        <v>2038</v>
      </c>
      <c r="D120" s="11">
        <f>IF(F119+SUM(E$100:E119)=D$93,F119,D$93-SUM(E$100:E119))</f>
        <v>5182063.4713950753</v>
      </c>
      <c r="E120" s="377">
        <f t="shared" si="41"/>
        <v>534165.3125</v>
      </c>
      <c r="F120" s="54">
        <f t="shared" si="42"/>
        <v>4647898.1588950753</v>
      </c>
      <c r="G120" s="54">
        <f t="shared" si="43"/>
        <v>4914980.8151450753</v>
      </c>
      <c r="H120" s="459">
        <f t="shared" si="44"/>
        <v>1086928.436280475</v>
      </c>
      <c r="I120" s="446">
        <f t="shared" si="45"/>
        <v>1086928.436280475</v>
      </c>
      <c r="J120" s="53">
        <f t="shared" si="26"/>
        <v>0</v>
      </c>
      <c r="K120" s="53"/>
      <c r="L120" s="112"/>
      <c r="M120" s="53">
        <f t="shared" si="46"/>
        <v>0</v>
      </c>
      <c r="N120" s="112"/>
      <c r="O120" s="53">
        <f t="shared" si="33"/>
        <v>0</v>
      </c>
      <c r="P120" s="53">
        <f t="shared" si="34"/>
        <v>0</v>
      </c>
    </row>
    <row r="121" spans="2:16">
      <c r="B121" t="str">
        <f t="shared" si="25"/>
        <v/>
      </c>
      <c r="C121" s="49">
        <f>IF(D94="","-",+C120+1)</f>
        <v>2039</v>
      </c>
      <c r="D121" s="11">
        <f>IF(F120+SUM(E$100:E120)=D$93,F120,D$93-SUM(E$100:E120))</f>
        <v>4647898.1588950753</v>
      </c>
      <c r="E121" s="377">
        <f t="shared" si="41"/>
        <v>534165.3125</v>
      </c>
      <c r="F121" s="54">
        <f t="shared" si="42"/>
        <v>4113732.8463950753</v>
      </c>
      <c r="G121" s="54">
        <f t="shared" si="43"/>
        <v>4380815.5026450753</v>
      </c>
      <c r="H121" s="459">
        <f t="shared" si="44"/>
        <v>1026853.555450252</v>
      </c>
      <c r="I121" s="446">
        <f t="shared" si="45"/>
        <v>1026853.555450252</v>
      </c>
      <c r="J121" s="53">
        <f t="shared" si="26"/>
        <v>0</v>
      </c>
      <c r="K121" s="53"/>
      <c r="L121" s="112"/>
      <c r="M121" s="53">
        <f t="shared" si="46"/>
        <v>0</v>
      </c>
      <c r="N121" s="112"/>
      <c r="O121" s="53">
        <f t="shared" si="33"/>
        <v>0</v>
      </c>
      <c r="P121" s="53">
        <f t="shared" si="34"/>
        <v>0</v>
      </c>
    </row>
    <row r="122" spans="2:16">
      <c r="B122" t="str">
        <f t="shared" si="25"/>
        <v/>
      </c>
      <c r="C122" s="49">
        <f>IF(D94="","-",+C121+1)</f>
        <v>2040</v>
      </c>
      <c r="D122" s="11">
        <f>IF(F121+SUM(E$100:E121)=D$93,F121,D$93-SUM(E$100:E121))</f>
        <v>4113732.8463950753</v>
      </c>
      <c r="E122" s="377">
        <f t="shared" si="41"/>
        <v>534165.3125</v>
      </c>
      <c r="F122" s="54">
        <f t="shared" si="42"/>
        <v>3579567.5338950753</v>
      </c>
      <c r="G122" s="54">
        <f t="shared" si="43"/>
        <v>3846650.1901450753</v>
      </c>
      <c r="H122" s="459">
        <f t="shared" si="44"/>
        <v>966778.67462002882</v>
      </c>
      <c r="I122" s="446">
        <f t="shared" si="45"/>
        <v>966778.67462002882</v>
      </c>
      <c r="J122" s="53">
        <f t="shared" si="26"/>
        <v>0</v>
      </c>
      <c r="K122" s="53"/>
      <c r="L122" s="112"/>
      <c r="M122" s="53">
        <f t="shared" si="46"/>
        <v>0</v>
      </c>
      <c r="N122" s="112"/>
      <c r="O122" s="53">
        <f t="shared" si="33"/>
        <v>0</v>
      </c>
      <c r="P122" s="53">
        <f t="shared" si="34"/>
        <v>0</v>
      </c>
    </row>
    <row r="123" spans="2:16">
      <c r="B123" t="str">
        <f t="shared" si="25"/>
        <v/>
      </c>
      <c r="C123" s="49">
        <f>IF(D94="","-",+C122+1)</f>
        <v>2041</v>
      </c>
      <c r="D123" s="11">
        <f>IF(F122+SUM(E$100:E122)=D$93,F122,D$93-SUM(E$100:E122))</f>
        <v>3579567.5338950753</v>
      </c>
      <c r="E123" s="377">
        <f t="shared" si="41"/>
        <v>534165.3125</v>
      </c>
      <c r="F123" s="54">
        <f t="shared" si="42"/>
        <v>3045402.2213950753</v>
      </c>
      <c r="G123" s="54">
        <f t="shared" si="43"/>
        <v>3312484.8776450753</v>
      </c>
      <c r="H123" s="459">
        <f t="shared" si="44"/>
        <v>906703.79378980561</v>
      </c>
      <c r="I123" s="446">
        <f t="shared" si="45"/>
        <v>906703.79378980561</v>
      </c>
      <c r="J123" s="53">
        <f t="shared" si="26"/>
        <v>0</v>
      </c>
      <c r="K123" s="53"/>
      <c r="L123" s="112"/>
      <c r="M123" s="53">
        <f t="shared" si="46"/>
        <v>0</v>
      </c>
      <c r="N123" s="112"/>
      <c r="O123" s="53">
        <f t="shared" si="33"/>
        <v>0</v>
      </c>
      <c r="P123" s="53">
        <f t="shared" si="34"/>
        <v>0</v>
      </c>
    </row>
    <row r="124" spans="2:16">
      <c r="B124" t="str">
        <f t="shared" si="25"/>
        <v/>
      </c>
      <c r="C124" s="49">
        <f>IF(D94="","-",+C123+1)</f>
        <v>2042</v>
      </c>
      <c r="D124" s="11">
        <f>IF(F123+SUM(E$100:E123)=D$93,F123,D$93-SUM(E$100:E123))</f>
        <v>3045402.2213950753</v>
      </c>
      <c r="E124" s="377">
        <f t="shared" si="41"/>
        <v>534165.3125</v>
      </c>
      <c r="F124" s="54">
        <f t="shared" si="42"/>
        <v>2511236.9088950753</v>
      </c>
      <c r="G124" s="54">
        <f t="shared" si="43"/>
        <v>2778319.5651450753</v>
      </c>
      <c r="H124" s="459">
        <f t="shared" si="44"/>
        <v>846628.91295958241</v>
      </c>
      <c r="I124" s="446">
        <f t="shared" si="45"/>
        <v>846628.91295958241</v>
      </c>
      <c r="J124" s="53">
        <f t="shared" si="26"/>
        <v>0</v>
      </c>
      <c r="K124" s="53"/>
      <c r="L124" s="112"/>
      <c r="M124" s="53">
        <f t="shared" si="46"/>
        <v>0</v>
      </c>
      <c r="N124" s="112"/>
      <c r="O124" s="53">
        <f t="shared" si="33"/>
        <v>0</v>
      </c>
      <c r="P124" s="53">
        <f t="shared" si="34"/>
        <v>0</v>
      </c>
    </row>
    <row r="125" spans="2:16">
      <c r="B125" t="str">
        <f t="shared" si="25"/>
        <v/>
      </c>
      <c r="C125" s="49">
        <f>IF(D94="","-",+C124+1)</f>
        <v>2043</v>
      </c>
      <c r="D125" s="11">
        <f>IF(F124+SUM(E$100:E124)=D$93,F124,D$93-SUM(E$100:E124))</f>
        <v>2511236.9088950753</v>
      </c>
      <c r="E125" s="377">
        <f t="shared" si="41"/>
        <v>534165.3125</v>
      </c>
      <c r="F125" s="54">
        <f t="shared" si="42"/>
        <v>1977071.5963950753</v>
      </c>
      <c r="G125" s="54">
        <f t="shared" si="43"/>
        <v>2244154.2526450753</v>
      </c>
      <c r="H125" s="459">
        <f t="shared" si="44"/>
        <v>786554.0321293592</v>
      </c>
      <c r="I125" s="446">
        <f t="shared" si="45"/>
        <v>786554.0321293592</v>
      </c>
      <c r="J125" s="53">
        <f t="shared" si="26"/>
        <v>0</v>
      </c>
      <c r="K125" s="53"/>
      <c r="L125" s="112"/>
      <c r="M125" s="53">
        <f t="shared" si="46"/>
        <v>0</v>
      </c>
      <c r="N125" s="112"/>
      <c r="O125" s="53">
        <f t="shared" si="33"/>
        <v>0</v>
      </c>
      <c r="P125" s="53">
        <f t="shared" si="34"/>
        <v>0</v>
      </c>
    </row>
    <row r="126" spans="2:16">
      <c r="B126" t="str">
        <f t="shared" si="25"/>
        <v/>
      </c>
      <c r="C126" s="49">
        <f>IF(D94="","-",+C125+1)</f>
        <v>2044</v>
      </c>
      <c r="D126" s="11">
        <f>IF(F125+SUM(E$100:E125)=D$93,F125,D$93-SUM(E$100:E125))</f>
        <v>1977071.5963950753</v>
      </c>
      <c r="E126" s="377">
        <f t="shared" si="41"/>
        <v>534165.3125</v>
      </c>
      <c r="F126" s="54">
        <f t="shared" si="42"/>
        <v>1442906.2838950753</v>
      </c>
      <c r="G126" s="54">
        <f t="shared" si="43"/>
        <v>1709988.9401450753</v>
      </c>
      <c r="H126" s="459">
        <f t="shared" si="44"/>
        <v>726479.15129913599</v>
      </c>
      <c r="I126" s="446">
        <f t="shared" si="45"/>
        <v>726479.15129913599</v>
      </c>
      <c r="J126" s="53">
        <f t="shared" si="26"/>
        <v>0</v>
      </c>
      <c r="K126" s="53"/>
      <c r="L126" s="112"/>
      <c r="M126" s="53">
        <f t="shared" si="46"/>
        <v>0</v>
      </c>
      <c r="N126" s="112"/>
      <c r="O126" s="53">
        <f t="shared" si="33"/>
        <v>0</v>
      </c>
      <c r="P126" s="53">
        <f t="shared" si="34"/>
        <v>0</v>
      </c>
    </row>
    <row r="127" spans="2:16">
      <c r="B127" t="str">
        <f t="shared" si="25"/>
        <v/>
      </c>
      <c r="C127" s="49">
        <f>IF(D94="","-",+C126+1)</f>
        <v>2045</v>
      </c>
      <c r="D127" s="11">
        <f>IF(F126+SUM(E$100:E126)=D$93,F126,D$93-SUM(E$100:E126))</f>
        <v>1442906.2838950753</v>
      </c>
      <c r="E127" s="377">
        <f t="shared" si="41"/>
        <v>534165.3125</v>
      </c>
      <c r="F127" s="54">
        <f t="shared" si="42"/>
        <v>908740.97139507532</v>
      </c>
      <c r="G127" s="54">
        <f t="shared" si="43"/>
        <v>1175823.6276450753</v>
      </c>
      <c r="H127" s="459">
        <f t="shared" si="44"/>
        <v>666404.27046891279</v>
      </c>
      <c r="I127" s="446">
        <f t="shared" si="45"/>
        <v>666404.27046891279</v>
      </c>
      <c r="J127" s="53">
        <f t="shared" si="26"/>
        <v>0</v>
      </c>
      <c r="K127" s="53"/>
      <c r="L127" s="112"/>
      <c r="M127" s="53">
        <f t="shared" si="46"/>
        <v>0</v>
      </c>
      <c r="N127" s="112"/>
      <c r="O127" s="53">
        <f t="shared" si="33"/>
        <v>0</v>
      </c>
      <c r="P127" s="53">
        <f t="shared" si="34"/>
        <v>0</v>
      </c>
    </row>
    <row r="128" spans="2:16">
      <c r="B128" t="str">
        <f t="shared" si="25"/>
        <v/>
      </c>
      <c r="C128" s="49">
        <f>IF(D94="","-",+C127+1)</f>
        <v>2046</v>
      </c>
      <c r="D128" s="11">
        <f>IF(F127+SUM(E$100:E127)=D$93,F127,D$93-SUM(E$100:E127))</f>
        <v>908740.97139507532</v>
      </c>
      <c r="E128" s="377">
        <f t="shared" si="41"/>
        <v>534165.3125</v>
      </c>
      <c r="F128" s="54">
        <f t="shared" si="42"/>
        <v>374575.65889507532</v>
      </c>
      <c r="G128" s="54">
        <f t="shared" si="43"/>
        <v>641658.31514507532</v>
      </c>
      <c r="H128" s="459">
        <f t="shared" si="44"/>
        <v>606329.38963868958</v>
      </c>
      <c r="I128" s="446">
        <f t="shared" si="45"/>
        <v>606329.38963868958</v>
      </c>
      <c r="J128" s="53">
        <f t="shared" si="26"/>
        <v>0</v>
      </c>
      <c r="K128" s="53"/>
      <c r="L128" s="112"/>
      <c r="M128" s="53">
        <f t="shared" si="46"/>
        <v>0</v>
      </c>
      <c r="N128" s="112"/>
      <c r="O128" s="53">
        <f t="shared" si="33"/>
        <v>0</v>
      </c>
      <c r="P128" s="53">
        <f t="shared" si="34"/>
        <v>0</v>
      </c>
    </row>
    <row r="129" spans="2:16">
      <c r="B129" t="str">
        <f t="shared" si="25"/>
        <v/>
      </c>
      <c r="C129" s="49">
        <f>IF(D94="","-",+C128+1)</f>
        <v>2047</v>
      </c>
      <c r="D129" s="11">
        <f>IF(F128+SUM(E$100:E128)=D$93,F128,D$93-SUM(E$100:E128))</f>
        <v>374575.65889507532</v>
      </c>
      <c r="E129" s="377">
        <f t="shared" si="41"/>
        <v>374575.65889507532</v>
      </c>
      <c r="F129" s="54">
        <f t="shared" si="42"/>
        <v>0</v>
      </c>
      <c r="G129" s="54">
        <f t="shared" si="43"/>
        <v>187287.82944753766</v>
      </c>
      <c r="H129" s="459">
        <f t="shared" si="44"/>
        <v>395638.97725686431</v>
      </c>
      <c r="I129" s="446">
        <f t="shared" si="45"/>
        <v>395638.97725686431</v>
      </c>
      <c r="J129" s="53">
        <f t="shared" si="26"/>
        <v>0</v>
      </c>
      <c r="K129" s="53"/>
      <c r="L129" s="112"/>
      <c r="M129" s="53">
        <f t="shared" si="46"/>
        <v>0</v>
      </c>
      <c r="N129" s="112"/>
      <c r="O129" s="53">
        <f t="shared" si="33"/>
        <v>0</v>
      </c>
      <c r="P129" s="53">
        <f t="shared" si="34"/>
        <v>0</v>
      </c>
    </row>
    <row r="130" spans="2:16">
      <c r="B130" t="str">
        <f t="shared" si="25"/>
        <v/>
      </c>
      <c r="C130" s="49">
        <f>IF(D94="","-",+C129+1)</f>
        <v>2048</v>
      </c>
      <c r="D130" s="11">
        <f>IF(F129+SUM(E$100:E129)=D$93,F129,D$93-SUM(E$100:E129))</f>
        <v>0</v>
      </c>
      <c r="E130" s="377">
        <f t="shared" si="41"/>
        <v>0</v>
      </c>
      <c r="F130" s="54">
        <f t="shared" si="42"/>
        <v>0</v>
      </c>
      <c r="G130" s="54">
        <f t="shared" si="43"/>
        <v>0</v>
      </c>
      <c r="H130" s="459">
        <f t="shared" si="44"/>
        <v>0</v>
      </c>
      <c r="I130" s="446">
        <f t="shared" si="45"/>
        <v>0</v>
      </c>
      <c r="J130" s="53">
        <f t="shared" si="26"/>
        <v>0</v>
      </c>
      <c r="K130" s="53"/>
      <c r="L130" s="112"/>
      <c r="M130" s="53">
        <f t="shared" si="46"/>
        <v>0</v>
      </c>
      <c r="N130" s="112"/>
      <c r="O130" s="53">
        <f t="shared" si="33"/>
        <v>0</v>
      </c>
      <c r="P130" s="53">
        <f t="shared" si="34"/>
        <v>0</v>
      </c>
    </row>
    <row r="131" spans="2:16">
      <c r="B131" t="str">
        <f t="shared" si="25"/>
        <v/>
      </c>
      <c r="C131" s="49">
        <f>IF(D94="","-",+C130+1)</f>
        <v>2049</v>
      </c>
      <c r="D131" s="11">
        <f>IF(F130+SUM(E$100:E130)=D$93,F130,D$93-SUM(E$100:E130))</f>
        <v>0</v>
      </c>
      <c r="E131" s="377">
        <f t="shared" si="41"/>
        <v>0</v>
      </c>
      <c r="F131" s="54">
        <f t="shared" si="42"/>
        <v>0</v>
      </c>
      <c r="G131" s="54">
        <f t="shared" si="43"/>
        <v>0</v>
      </c>
      <c r="H131" s="459">
        <f t="shared" si="44"/>
        <v>0</v>
      </c>
      <c r="I131" s="446">
        <f t="shared" si="45"/>
        <v>0</v>
      </c>
      <c r="J131" s="53">
        <f t="shared" si="26"/>
        <v>0</v>
      </c>
      <c r="K131" s="53"/>
      <c r="L131" s="112"/>
      <c r="M131" s="53">
        <f t="shared" si="46"/>
        <v>0</v>
      </c>
      <c r="N131" s="112"/>
      <c r="O131" s="53">
        <f t="shared" si="33"/>
        <v>0</v>
      </c>
      <c r="P131" s="53">
        <f t="shared" si="34"/>
        <v>0</v>
      </c>
    </row>
    <row r="132" spans="2:16">
      <c r="B132" t="str">
        <f t="shared" si="25"/>
        <v/>
      </c>
      <c r="C132" s="49">
        <f>IF(D94="","-",+C131+1)</f>
        <v>2050</v>
      </c>
      <c r="D132" s="11">
        <f>IF(F131+SUM(E$100:E131)=D$93,F131,D$93-SUM(E$100:E131))</f>
        <v>0</v>
      </c>
      <c r="E132" s="377">
        <f t="shared" si="41"/>
        <v>0</v>
      </c>
      <c r="F132" s="54">
        <f t="shared" si="42"/>
        <v>0</v>
      </c>
      <c r="G132" s="54">
        <f t="shared" si="43"/>
        <v>0</v>
      </c>
      <c r="H132" s="459">
        <f t="shared" si="44"/>
        <v>0</v>
      </c>
      <c r="I132" s="446">
        <f t="shared" si="45"/>
        <v>0</v>
      </c>
      <c r="J132" s="53">
        <f t="shared" ref="J132:J155" si="47">+I542-H542</f>
        <v>0</v>
      </c>
      <c r="K132" s="53"/>
      <c r="L132" s="112"/>
      <c r="M132" s="53">
        <f t="shared" ref="M132:M155" si="48">IF(L542&lt;&gt;0,+H542-L542,0)</f>
        <v>0</v>
      </c>
      <c r="N132" s="112"/>
      <c r="O132" s="53">
        <f t="shared" ref="O132:O155" si="49">IF(N542&lt;&gt;0,+I542-N542,0)</f>
        <v>0</v>
      </c>
      <c r="P132" s="53">
        <f t="shared" ref="P132:P155" si="50">+O542-M542</f>
        <v>0</v>
      </c>
    </row>
    <row r="133" spans="2:16">
      <c r="B133" t="str">
        <f t="shared" si="25"/>
        <v/>
      </c>
      <c r="C133" s="49">
        <f>IF(D94="","-",+C132+1)</f>
        <v>2051</v>
      </c>
      <c r="D133" s="11">
        <f>IF(F132+SUM(E$100:E132)=D$93,F132,D$93-SUM(E$100:E132))</f>
        <v>0</v>
      </c>
      <c r="E133" s="377">
        <f t="shared" si="41"/>
        <v>0</v>
      </c>
      <c r="F133" s="54">
        <f t="shared" si="42"/>
        <v>0</v>
      </c>
      <c r="G133" s="54">
        <f t="shared" si="43"/>
        <v>0</v>
      </c>
      <c r="H133" s="459">
        <f t="shared" si="44"/>
        <v>0</v>
      </c>
      <c r="I133" s="446">
        <f t="shared" si="45"/>
        <v>0</v>
      </c>
      <c r="J133" s="53">
        <f t="shared" si="47"/>
        <v>0</v>
      </c>
      <c r="K133" s="53"/>
      <c r="L133" s="112"/>
      <c r="M133" s="53">
        <f t="shared" si="48"/>
        <v>0</v>
      </c>
      <c r="N133" s="112"/>
      <c r="O133" s="53">
        <f t="shared" si="49"/>
        <v>0</v>
      </c>
      <c r="P133" s="53">
        <f t="shared" si="50"/>
        <v>0</v>
      </c>
    </row>
    <row r="134" spans="2:16">
      <c r="B134" t="str">
        <f t="shared" si="25"/>
        <v/>
      </c>
      <c r="C134" s="49">
        <f>IF(D94="","-",+C133+1)</f>
        <v>2052</v>
      </c>
      <c r="D134" s="11">
        <f>IF(F133+SUM(E$100:E133)=D$93,F133,D$93-SUM(E$100:E133))</f>
        <v>0</v>
      </c>
      <c r="E134" s="377">
        <f t="shared" si="41"/>
        <v>0</v>
      </c>
      <c r="F134" s="54">
        <f t="shared" si="42"/>
        <v>0</v>
      </c>
      <c r="G134" s="54">
        <f t="shared" si="43"/>
        <v>0</v>
      </c>
      <c r="H134" s="459">
        <f t="shared" si="44"/>
        <v>0</v>
      </c>
      <c r="I134" s="446">
        <f t="shared" si="45"/>
        <v>0</v>
      </c>
      <c r="J134" s="53">
        <f t="shared" si="47"/>
        <v>0</v>
      </c>
      <c r="K134" s="53"/>
      <c r="L134" s="112"/>
      <c r="M134" s="53">
        <f t="shared" si="48"/>
        <v>0</v>
      </c>
      <c r="N134" s="112"/>
      <c r="O134" s="53">
        <f t="shared" si="49"/>
        <v>0</v>
      </c>
      <c r="P134" s="53">
        <f t="shared" si="50"/>
        <v>0</v>
      </c>
    </row>
    <row r="135" spans="2:16">
      <c r="B135" t="str">
        <f t="shared" si="25"/>
        <v/>
      </c>
      <c r="C135" s="49">
        <f>IF(D94="","-",+C134+1)</f>
        <v>2053</v>
      </c>
      <c r="D135" s="11">
        <f>IF(F134+SUM(E$100:E134)=D$93,F134,D$93-SUM(E$100:E134))</f>
        <v>0</v>
      </c>
      <c r="E135" s="377">
        <f t="shared" si="41"/>
        <v>0</v>
      </c>
      <c r="F135" s="54">
        <f t="shared" si="42"/>
        <v>0</v>
      </c>
      <c r="G135" s="54">
        <f t="shared" si="43"/>
        <v>0</v>
      </c>
      <c r="H135" s="459">
        <f t="shared" si="44"/>
        <v>0</v>
      </c>
      <c r="I135" s="446">
        <f t="shared" si="45"/>
        <v>0</v>
      </c>
      <c r="J135" s="53">
        <f t="shared" si="47"/>
        <v>0</v>
      </c>
      <c r="K135" s="53"/>
      <c r="L135" s="112"/>
      <c r="M135" s="53">
        <f t="shared" si="48"/>
        <v>0</v>
      </c>
      <c r="N135" s="112"/>
      <c r="O135" s="53">
        <f t="shared" si="49"/>
        <v>0</v>
      </c>
      <c r="P135" s="53">
        <f t="shared" si="50"/>
        <v>0</v>
      </c>
    </row>
    <row r="136" spans="2:16">
      <c r="B136" t="str">
        <f t="shared" si="25"/>
        <v/>
      </c>
      <c r="C136" s="49">
        <f>IF(D94="","-",+C135+1)</f>
        <v>2054</v>
      </c>
      <c r="D136" s="11">
        <f>IF(F135+SUM(E$100:E135)=D$93,F135,D$93-SUM(E$100:E135))</f>
        <v>0</v>
      </c>
      <c r="E136" s="377">
        <f t="shared" si="41"/>
        <v>0</v>
      </c>
      <c r="F136" s="54">
        <f t="shared" si="42"/>
        <v>0</v>
      </c>
      <c r="G136" s="54">
        <f t="shared" si="43"/>
        <v>0</v>
      </c>
      <c r="H136" s="459">
        <f t="shared" si="44"/>
        <v>0</v>
      </c>
      <c r="I136" s="446">
        <f t="shared" si="45"/>
        <v>0</v>
      </c>
      <c r="J136" s="53">
        <f t="shared" si="47"/>
        <v>0</v>
      </c>
      <c r="K136" s="53"/>
      <c r="L136" s="112"/>
      <c r="M136" s="53">
        <f t="shared" si="48"/>
        <v>0</v>
      </c>
      <c r="N136" s="112"/>
      <c r="O136" s="53">
        <f t="shared" si="49"/>
        <v>0</v>
      </c>
      <c r="P136" s="53">
        <f t="shared" si="50"/>
        <v>0</v>
      </c>
    </row>
    <row r="137" spans="2:16">
      <c r="B137" t="str">
        <f t="shared" si="25"/>
        <v/>
      </c>
      <c r="C137" s="49">
        <f>IF(D94="","-",+C136+1)</f>
        <v>2055</v>
      </c>
      <c r="D137" s="11">
        <f>IF(F136+SUM(E$100:E136)=D$93,F136,D$93-SUM(E$100:E136))</f>
        <v>0</v>
      </c>
      <c r="E137" s="377">
        <f t="shared" si="41"/>
        <v>0</v>
      </c>
      <c r="F137" s="54">
        <f t="shared" si="42"/>
        <v>0</v>
      </c>
      <c r="G137" s="54">
        <f t="shared" si="43"/>
        <v>0</v>
      </c>
      <c r="H137" s="459">
        <f t="shared" si="44"/>
        <v>0</v>
      </c>
      <c r="I137" s="446">
        <f t="shared" si="45"/>
        <v>0</v>
      </c>
      <c r="J137" s="53">
        <f t="shared" si="47"/>
        <v>0</v>
      </c>
      <c r="K137" s="53"/>
      <c r="L137" s="112"/>
      <c r="M137" s="53">
        <f t="shared" si="48"/>
        <v>0</v>
      </c>
      <c r="N137" s="112"/>
      <c r="O137" s="53">
        <f t="shared" si="49"/>
        <v>0</v>
      </c>
      <c r="P137" s="53">
        <f t="shared" si="50"/>
        <v>0</v>
      </c>
    </row>
    <row r="138" spans="2:16">
      <c r="B138" t="str">
        <f t="shared" si="25"/>
        <v/>
      </c>
      <c r="C138" s="49">
        <f>IF(D94="","-",+C137+1)</f>
        <v>2056</v>
      </c>
      <c r="D138" s="11">
        <f>IF(F137+SUM(E$100:E137)=D$93,F137,D$93-SUM(E$100:E137))</f>
        <v>0</v>
      </c>
      <c r="E138" s="377">
        <f t="shared" si="41"/>
        <v>0</v>
      </c>
      <c r="F138" s="54">
        <f t="shared" si="42"/>
        <v>0</v>
      </c>
      <c r="G138" s="54">
        <f t="shared" si="43"/>
        <v>0</v>
      </c>
      <c r="H138" s="459">
        <f t="shared" si="44"/>
        <v>0</v>
      </c>
      <c r="I138" s="446">
        <f t="shared" si="45"/>
        <v>0</v>
      </c>
      <c r="J138" s="53">
        <f t="shared" si="47"/>
        <v>0</v>
      </c>
      <c r="K138" s="53"/>
      <c r="L138" s="112"/>
      <c r="M138" s="53">
        <f t="shared" si="48"/>
        <v>0</v>
      </c>
      <c r="N138" s="112"/>
      <c r="O138" s="53">
        <f t="shared" si="49"/>
        <v>0</v>
      </c>
      <c r="P138" s="53">
        <f t="shared" si="50"/>
        <v>0</v>
      </c>
    </row>
    <row r="139" spans="2:16">
      <c r="B139" t="str">
        <f t="shared" si="25"/>
        <v/>
      </c>
      <c r="C139" s="49">
        <f>IF(D94="","-",+C138+1)</f>
        <v>2057</v>
      </c>
      <c r="D139" s="11">
        <f>IF(F138+SUM(E$100:E138)=D$93,F138,D$93-SUM(E$100:E138))</f>
        <v>0</v>
      </c>
      <c r="E139" s="377">
        <f t="shared" si="41"/>
        <v>0</v>
      </c>
      <c r="F139" s="54">
        <f t="shared" si="42"/>
        <v>0</v>
      </c>
      <c r="G139" s="54">
        <f t="shared" si="43"/>
        <v>0</v>
      </c>
      <c r="H139" s="459">
        <f t="shared" si="44"/>
        <v>0</v>
      </c>
      <c r="I139" s="446">
        <f t="shared" si="45"/>
        <v>0</v>
      </c>
      <c r="J139" s="53">
        <f t="shared" si="47"/>
        <v>0</v>
      </c>
      <c r="K139" s="53"/>
      <c r="L139" s="112"/>
      <c r="M139" s="53">
        <f t="shared" si="48"/>
        <v>0</v>
      </c>
      <c r="N139" s="112"/>
      <c r="O139" s="53">
        <f t="shared" si="49"/>
        <v>0</v>
      </c>
      <c r="P139" s="53">
        <f t="shared" si="50"/>
        <v>0</v>
      </c>
    </row>
    <row r="140" spans="2:16">
      <c r="B140" t="str">
        <f t="shared" si="25"/>
        <v/>
      </c>
      <c r="C140" s="49">
        <f>IF(D94="","-",+C139+1)</f>
        <v>2058</v>
      </c>
      <c r="D140" s="11">
        <f>IF(F139+SUM(E$100:E139)=D$93,F139,D$93-SUM(E$100:E139))</f>
        <v>0</v>
      </c>
      <c r="E140" s="377">
        <f t="shared" si="41"/>
        <v>0</v>
      </c>
      <c r="F140" s="54">
        <f t="shared" si="42"/>
        <v>0</v>
      </c>
      <c r="G140" s="54">
        <f t="shared" si="43"/>
        <v>0</v>
      </c>
      <c r="H140" s="459">
        <f t="shared" si="44"/>
        <v>0</v>
      </c>
      <c r="I140" s="446">
        <f t="shared" si="45"/>
        <v>0</v>
      </c>
      <c r="J140" s="53">
        <f t="shared" si="47"/>
        <v>0</v>
      </c>
      <c r="K140" s="53"/>
      <c r="L140" s="112"/>
      <c r="M140" s="53">
        <f t="shared" si="48"/>
        <v>0</v>
      </c>
      <c r="N140" s="112"/>
      <c r="O140" s="53">
        <f t="shared" si="49"/>
        <v>0</v>
      </c>
      <c r="P140" s="53">
        <f t="shared" si="50"/>
        <v>0</v>
      </c>
    </row>
    <row r="141" spans="2:16">
      <c r="B141" t="str">
        <f t="shared" si="25"/>
        <v/>
      </c>
      <c r="C141" s="49">
        <f>IF(D94="","-",+C140+1)</f>
        <v>2059</v>
      </c>
      <c r="D141" s="11">
        <f>IF(F140+SUM(E$100:E140)=D$93,F140,D$93-SUM(E$100:E140))</f>
        <v>0</v>
      </c>
      <c r="E141" s="377">
        <f t="shared" si="41"/>
        <v>0</v>
      </c>
      <c r="F141" s="54">
        <f t="shared" si="42"/>
        <v>0</v>
      </c>
      <c r="G141" s="54">
        <f t="shared" si="43"/>
        <v>0</v>
      </c>
      <c r="H141" s="459">
        <f t="shared" si="44"/>
        <v>0</v>
      </c>
      <c r="I141" s="446">
        <f t="shared" si="45"/>
        <v>0</v>
      </c>
      <c r="J141" s="53">
        <f t="shared" si="47"/>
        <v>0</v>
      </c>
      <c r="K141" s="53"/>
      <c r="L141" s="112"/>
      <c r="M141" s="53">
        <f t="shared" si="48"/>
        <v>0</v>
      </c>
      <c r="N141" s="112"/>
      <c r="O141" s="53">
        <f t="shared" si="49"/>
        <v>0</v>
      </c>
      <c r="P141" s="53">
        <f t="shared" si="50"/>
        <v>0</v>
      </c>
    </row>
    <row r="142" spans="2:16">
      <c r="B142" t="str">
        <f t="shared" si="25"/>
        <v/>
      </c>
      <c r="C142" s="49">
        <f>IF(D94="","-",+C141+1)</f>
        <v>2060</v>
      </c>
      <c r="D142" s="11">
        <f>IF(F141+SUM(E$100:E141)=D$93,F141,D$93-SUM(E$100:E141))</f>
        <v>0</v>
      </c>
      <c r="E142" s="377">
        <f t="shared" si="41"/>
        <v>0</v>
      </c>
      <c r="F142" s="54">
        <f t="shared" si="42"/>
        <v>0</v>
      </c>
      <c r="G142" s="54">
        <f t="shared" si="43"/>
        <v>0</v>
      </c>
      <c r="H142" s="459">
        <f t="shared" si="44"/>
        <v>0</v>
      </c>
      <c r="I142" s="446">
        <f t="shared" si="45"/>
        <v>0</v>
      </c>
      <c r="J142" s="53">
        <f t="shared" si="47"/>
        <v>0</v>
      </c>
      <c r="K142" s="53"/>
      <c r="L142" s="112"/>
      <c r="M142" s="53">
        <f t="shared" si="48"/>
        <v>0</v>
      </c>
      <c r="N142" s="112"/>
      <c r="O142" s="53">
        <f t="shared" si="49"/>
        <v>0</v>
      </c>
      <c r="P142" s="53">
        <f t="shared" si="50"/>
        <v>0</v>
      </c>
    </row>
    <row r="143" spans="2:16">
      <c r="B143" t="str">
        <f t="shared" si="25"/>
        <v/>
      </c>
      <c r="C143" s="49">
        <f>IF(D94="","-",+C142+1)</f>
        <v>2061</v>
      </c>
      <c r="D143" s="11">
        <f>IF(F142+SUM(E$100:E142)=D$93,F142,D$93-SUM(E$100:E142))</f>
        <v>0</v>
      </c>
      <c r="E143" s="377">
        <f t="shared" si="41"/>
        <v>0</v>
      </c>
      <c r="F143" s="54">
        <f t="shared" si="42"/>
        <v>0</v>
      </c>
      <c r="G143" s="54">
        <f t="shared" si="43"/>
        <v>0</v>
      </c>
      <c r="H143" s="459">
        <f t="shared" si="44"/>
        <v>0</v>
      </c>
      <c r="I143" s="446">
        <f t="shared" si="45"/>
        <v>0</v>
      </c>
      <c r="J143" s="53">
        <f t="shared" si="47"/>
        <v>0</v>
      </c>
      <c r="K143" s="53"/>
      <c r="L143" s="112"/>
      <c r="M143" s="53">
        <f t="shared" si="48"/>
        <v>0</v>
      </c>
      <c r="N143" s="112"/>
      <c r="O143" s="53">
        <f t="shared" si="49"/>
        <v>0</v>
      </c>
      <c r="P143" s="53">
        <f t="shared" si="50"/>
        <v>0</v>
      </c>
    </row>
    <row r="144" spans="2:16">
      <c r="B144" t="str">
        <f t="shared" si="25"/>
        <v/>
      </c>
      <c r="C144" s="49">
        <f>IF(D94="","-",+C143+1)</f>
        <v>2062</v>
      </c>
      <c r="D144" s="11">
        <f>IF(F143+SUM(E$100:E143)=D$93,F143,D$93-SUM(E$100:E143))</f>
        <v>0</v>
      </c>
      <c r="E144" s="377">
        <f t="shared" si="41"/>
        <v>0</v>
      </c>
      <c r="F144" s="54">
        <f t="shared" si="42"/>
        <v>0</v>
      </c>
      <c r="G144" s="54">
        <f t="shared" si="43"/>
        <v>0</v>
      </c>
      <c r="H144" s="459">
        <f t="shared" si="44"/>
        <v>0</v>
      </c>
      <c r="I144" s="446">
        <f t="shared" si="45"/>
        <v>0</v>
      </c>
      <c r="J144" s="53">
        <f t="shared" si="47"/>
        <v>0</v>
      </c>
      <c r="K144" s="53"/>
      <c r="L144" s="112"/>
      <c r="M144" s="53">
        <f t="shared" si="48"/>
        <v>0</v>
      </c>
      <c r="N144" s="112"/>
      <c r="O144" s="53">
        <f t="shared" si="49"/>
        <v>0</v>
      </c>
      <c r="P144" s="53">
        <f t="shared" si="50"/>
        <v>0</v>
      </c>
    </row>
    <row r="145" spans="2:16">
      <c r="B145" t="str">
        <f t="shared" si="25"/>
        <v/>
      </c>
      <c r="C145" s="49">
        <f>IF(D94="","-",+C144+1)</f>
        <v>2063</v>
      </c>
      <c r="D145" s="11">
        <f>IF(F144+SUM(E$100:E144)=D$93,F144,D$93-SUM(E$100:E144))</f>
        <v>0</v>
      </c>
      <c r="E145" s="377">
        <f t="shared" si="41"/>
        <v>0</v>
      </c>
      <c r="F145" s="54">
        <f t="shared" si="42"/>
        <v>0</v>
      </c>
      <c r="G145" s="54">
        <f t="shared" si="43"/>
        <v>0</v>
      </c>
      <c r="H145" s="459">
        <f t="shared" si="44"/>
        <v>0</v>
      </c>
      <c r="I145" s="446">
        <f t="shared" si="45"/>
        <v>0</v>
      </c>
      <c r="J145" s="53">
        <f t="shared" si="47"/>
        <v>0</v>
      </c>
      <c r="K145" s="53"/>
      <c r="L145" s="112"/>
      <c r="M145" s="53">
        <f t="shared" si="48"/>
        <v>0</v>
      </c>
      <c r="N145" s="112"/>
      <c r="O145" s="53">
        <f t="shared" si="49"/>
        <v>0</v>
      </c>
      <c r="P145" s="53">
        <f t="shared" si="50"/>
        <v>0</v>
      </c>
    </row>
    <row r="146" spans="2:16">
      <c r="B146" t="str">
        <f t="shared" si="25"/>
        <v/>
      </c>
      <c r="C146" s="49">
        <f>IF(D94="","-",+C145+1)</f>
        <v>2064</v>
      </c>
      <c r="D146" s="11">
        <f>IF(F145+SUM(E$100:E145)=D$93,F145,D$93-SUM(E$100:E145))</f>
        <v>0</v>
      </c>
      <c r="E146" s="377">
        <f t="shared" si="41"/>
        <v>0</v>
      </c>
      <c r="F146" s="54">
        <f t="shared" si="42"/>
        <v>0</v>
      </c>
      <c r="G146" s="54">
        <f t="shared" si="43"/>
        <v>0</v>
      </c>
      <c r="H146" s="459">
        <f t="shared" si="44"/>
        <v>0</v>
      </c>
      <c r="I146" s="446">
        <f t="shared" si="45"/>
        <v>0</v>
      </c>
      <c r="J146" s="53">
        <f t="shared" si="47"/>
        <v>0</v>
      </c>
      <c r="K146" s="53"/>
      <c r="L146" s="112"/>
      <c r="M146" s="53">
        <f t="shared" si="48"/>
        <v>0</v>
      </c>
      <c r="N146" s="112"/>
      <c r="O146" s="53">
        <f t="shared" si="49"/>
        <v>0</v>
      </c>
      <c r="P146" s="53">
        <f t="shared" si="50"/>
        <v>0</v>
      </c>
    </row>
    <row r="147" spans="2:16">
      <c r="B147" t="str">
        <f t="shared" si="25"/>
        <v/>
      </c>
      <c r="C147" s="49">
        <f>IF(D94="","-",+C146+1)</f>
        <v>2065</v>
      </c>
      <c r="D147" s="11">
        <f>IF(F146+SUM(E$100:E146)=D$93,F146,D$93-SUM(E$100:E146))</f>
        <v>0</v>
      </c>
      <c r="E147" s="377">
        <f t="shared" si="41"/>
        <v>0</v>
      </c>
      <c r="F147" s="54">
        <f t="shared" si="42"/>
        <v>0</v>
      </c>
      <c r="G147" s="54">
        <f t="shared" si="43"/>
        <v>0</v>
      </c>
      <c r="H147" s="459">
        <f t="shared" si="44"/>
        <v>0</v>
      </c>
      <c r="I147" s="446">
        <f t="shared" si="45"/>
        <v>0</v>
      </c>
      <c r="J147" s="53">
        <f t="shared" si="47"/>
        <v>0</v>
      </c>
      <c r="K147" s="53"/>
      <c r="L147" s="112"/>
      <c r="M147" s="53">
        <f t="shared" si="48"/>
        <v>0</v>
      </c>
      <c r="N147" s="112"/>
      <c r="O147" s="53">
        <f t="shared" si="49"/>
        <v>0</v>
      </c>
      <c r="P147" s="53">
        <f t="shared" si="50"/>
        <v>0</v>
      </c>
    </row>
    <row r="148" spans="2:16">
      <c r="B148" t="str">
        <f t="shared" si="25"/>
        <v/>
      </c>
      <c r="C148" s="49">
        <f>IF(D94="","-",+C147+1)</f>
        <v>2066</v>
      </c>
      <c r="D148" s="11">
        <f>IF(F147+SUM(E$100:E147)=D$93,F147,D$93-SUM(E$100:E147))</f>
        <v>0</v>
      </c>
      <c r="E148" s="377">
        <f t="shared" si="41"/>
        <v>0</v>
      </c>
      <c r="F148" s="54">
        <f t="shared" si="42"/>
        <v>0</v>
      </c>
      <c r="G148" s="54">
        <f t="shared" si="43"/>
        <v>0</v>
      </c>
      <c r="H148" s="459">
        <f t="shared" si="44"/>
        <v>0</v>
      </c>
      <c r="I148" s="446">
        <f t="shared" si="45"/>
        <v>0</v>
      </c>
      <c r="J148" s="53">
        <f t="shared" si="47"/>
        <v>0</v>
      </c>
      <c r="K148" s="53"/>
      <c r="L148" s="112"/>
      <c r="M148" s="53">
        <f t="shared" si="48"/>
        <v>0</v>
      </c>
      <c r="N148" s="112"/>
      <c r="O148" s="53">
        <f t="shared" si="49"/>
        <v>0</v>
      </c>
      <c r="P148" s="53">
        <f t="shared" si="50"/>
        <v>0</v>
      </c>
    </row>
    <row r="149" spans="2:16">
      <c r="B149" t="str">
        <f t="shared" si="25"/>
        <v/>
      </c>
      <c r="C149" s="49">
        <f>IF(D94="","-",+C148+1)</f>
        <v>2067</v>
      </c>
      <c r="D149" s="11">
        <f>IF(F148+SUM(E$100:E148)=D$93,F148,D$93-SUM(E$100:E148))</f>
        <v>0</v>
      </c>
      <c r="E149" s="377">
        <f t="shared" si="41"/>
        <v>0</v>
      </c>
      <c r="F149" s="54">
        <f t="shared" si="42"/>
        <v>0</v>
      </c>
      <c r="G149" s="54">
        <f t="shared" si="43"/>
        <v>0</v>
      </c>
      <c r="H149" s="459">
        <f t="shared" si="44"/>
        <v>0</v>
      </c>
      <c r="I149" s="446">
        <f t="shared" si="45"/>
        <v>0</v>
      </c>
      <c r="J149" s="53">
        <f t="shared" si="47"/>
        <v>0</v>
      </c>
      <c r="K149" s="53"/>
      <c r="L149" s="112"/>
      <c r="M149" s="53">
        <f t="shared" si="48"/>
        <v>0</v>
      </c>
      <c r="N149" s="112"/>
      <c r="O149" s="53">
        <f t="shared" si="49"/>
        <v>0</v>
      </c>
      <c r="P149" s="53">
        <f t="shared" si="50"/>
        <v>0</v>
      </c>
    </row>
    <row r="150" spans="2:16">
      <c r="B150" t="str">
        <f t="shared" si="25"/>
        <v/>
      </c>
      <c r="C150" s="49">
        <f>IF(D94="","-",+C149+1)</f>
        <v>2068</v>
      </c>
      <c r="D150" s="11">
        <f>IF(F149+SUM(E$100:E149)=D$93,F149,D$93-SUM(E$100:E149))</f>
        <v>0</v>
      </c>
      <c r="E150" s="377">
        <f t="shared" si="41"/>
        <v>0</v>
      </c>
      <c r="F150" s="54">
        <f t="shared" si="42"/>
        <v>0</v>
      </c>
      <c r="G150" s="54">
        <f t="shared" si="43"/>
        <v>0</v>
      </c>
      <c r="H150" s="459">
        <f t="shared" si="44"/>
        <v>0</v>
      </c>
      <c r="I150" s="446">
        <f t="shared" si="45"/>
        <v>0</v>
      </c>
      <c r="J150" s="53">
        <f t="shared" si="47"/>
        <v>0</v>
      </c>
      <c r="K150" s="53"/>
      <c r="L150" s="112"/>
      <c r="M150" s="53">
        <f t="shared" si="48"/>
        <v>0</v>
      </c>
      <c r="N150" s="112"/>
      <c r="O150" s="53">
        <f t="shared" si="49"/>
        <v>0</v>
      </c>
      <c r="P150" s="53">
        <f t="shared" si="50"/>
        <v>0</v>
      </c>
    </row>
    <row r="151" spans="2:16">
      <c r="B151" t="str">
        <f t="shared" si="25"/>
        <v/>
      </c>
      <c r="C151" s="49">
        <f>IF(D94="","-",+C150+1)</f>
        <v>2069</v>
      </c>
      <c r="D151" s="11">
        <f>IF(F150+SUM(E$100:E150)=D$93,F150,D$93-SUM(E$100:E150))</f>
        <v>0</v>
      </c>
      <c r="E151" s="377">
        <f t="shared" si="41"/>
        <v>0</v>
      </c>
      <c r="F151" s="54">
        <f t="shared" si="42"/>
        <v>0</v>
      </c>
      <c r="G151" s="54">
        <f t="shared" si="43"/>
        <v>0</v>
      </c>
      <c r="H151" s="459">
        <f t="shared" si="44"/>
        <v>0</v>
      </c>
      <c r="I151" s="446">
        <f t="shared" si="45"/>
        <v>0</v>
      </c>
      <c r="J151" s="53">
        <f t="shared" si="47"/>
        <v>0</v>
      </c>
      <c r="K151" s="53"/>
      <c r="L151" s="112"/>
      <c r="M151" s="53">
        <f t="shared" si="48"/>
        <v>0</v>
      </c>
      <c r="N151" s="112"/>
      <c r="O151" s="53">
        <f t="shared" si="49"/>
        <v>0</v>
      </c>
      <c r="P151" s="53">
        <f t="shared" si="50"/>
        <v>0</v>
      </c>
    </row>
    <row r="152" spans="2:16">
      <c r="B152" t="str">
        <f t="shared" si="25"/>
        <v/>
      </c>
      <c r="C152" s="49">
        <f>IF(D94="","-",+C151+1)</f>
        <v>2070</v>
      </c>
      <c r="D152" s="11">
        <f>IF(F151+SUM(E$100:E151)=D$93,F151,D$93-SUM(E$100:E151))</f>
        <v>0</v>
      </c>
      <c r="E152" s="377">
        <f t="shared" si="41"/>
        <v>0</v>
      </c>
      <c r="F152" s="54">
        <f t="shared" si="42"/>
        <v>0</v>
      </c>
      <c r="G152" s="54">
        <f t="shared" si="43"/>
        <v>0</v>
      </c>
      <c r="H152" s="459">
        <f t="shared" si="44"/>
        <v>0</v>
      </c>
      <c r="I152" s="446">
        <f t="shared" si="45"/>
        <v>0</v>
      </c>
      <c r="J152" s="53">
        <f t="shared" si="47"/>
        <v>0</v>
      </c>
      <c r="K152" s="53"/>
      <c r="L152" s="112"/>
      <c r="M152" s="53">
        <f t="shared" si="48"/>
        <v>0</v>
      </c>
      <c r="N152" s="112"/>
      <c r="O152" s="53">
        <f t="shared" si="49"/>
        <v>0</v>
      </c>
      <c r="P152" s="53">
        <f t="shared" si="50"/>
        <v>0</v>
      </c>
    </row>
    <row r="153" spans="2:16">
      <c r="B153" t="str">
        <f t="shared" si="25"/>
        <v/>
      </c>
      <c r="C153" s="49">
        <f>IF(D94="","-",+C152+1)</f>
        <v>2071</v>
      </c>
      <c r="D153" s="11">
        <f>IF(F152+SUM(E$100:E152)=D$93,F152,D$93-SUM(E$100:E152))</f>
        <v>0</v>
      </c>
      <c r="E153" s="377">
        <f t="shared" si="41"/>
        <v>0</v>
      </c>
      <c r="F153" s="54">
        <f t="shared" si="42"/>
        <v>0</v>
      </c>
      <c r="G153" s="54">
        <f t="shared" si="43"/>
        <v>0</v>
      </c>
      <c r="H153" s="459">
        <f t="shared" si="44"/>
        <v>0</v>
      </c>
      <c r="I153" s="446">
        <f t="shared" si="45"/>
        <v>0</v>
      </c>
      <c r="J153" s="53">
        <f t="shared" si="47"/>
        <v>0</v>
      </c>
      <c r="K153" s="53"/>
      <c r="L153" s="112"/>
      <c r="M153" s="53">
        <f t="shared" si="48"/>
        <v>0</v>
      </c>
      <c r="N153" s="112"/>
      <c r="O153" s="53">
        <f t="shared" si="49"/>
        <v>0</v>
      </c>
      <c r="P153" s="53">
        <f t="shared" si="50"/>
        <v>0</v>
      </c>
    </row>
    <row r="154" spans="2:16">
      <c r="B154" t="str">
        <f t="shared" si="25"/>
        <v/>
      </c>
      <c r="C154" s="49">
        <f>IF(D94="","-",+C153+1)</f>
        <v>2072</v>
      </c>
      <c r="D154" s="11">
        <f>IF(F153+SUM(E$100:E153)=D$93,F153,D$93-SUM(E$100:E153))</f>
        <v>0</v>
      </c>
      <c r="E154" s="377">
        <f t="shared" si="41"/>
        <v>0</v>
      </c>
      <c r="F154" s="54">
        <f t="shared" si="42"/>
        <v>0</v>
      </c>
      <c r="G154" s="54">
        <f t="shared" si="43"/>
        <v>0</v>
      </c>
      <c r="H154" s="459">
        <f t="shared" si="44"/>
        <v>0</v>
      </c>
      <c r="I154" s="446">
        <f t="shared" si="45"/>
        <v>0</v>
      </c>
      <c r="J154" s="53">
        <f t="shared" si="47"/>
        <v>0</v>
      </c>
      <c r="K154" s="53"/>
      <c r="L154" s="112"/>
      <c r="M154" s="53">
        <f t="shared" si="48"/>
        <v>0</v>
      </c>
      <c r="N154" s="112"/>
      <c r="O154" s="53">
        <f t="shared" si="49"/>
        <v>0</v>
      </c>
      <c r="P154" s="53">
        <f t="shared" si="50"/>
        <v>0</v>
      </c>
    </row>
    <row r="155" spans="2:16" ht="13.5" thickBot="1">
      <c r="B155" t="str">
        <f t="shared" si="25"/>
        <v/>
      </c>
      <c r="C155" s="58">
        <f>IF(D94="","-",+C154+1)</f>
        <v>2073</v>
      </c>
      <c r="D155" s="82">
        <f>IF(F154+SUM(E$100:E154)=D$93,F154,D$93-SUM(E$100:E154))</f>
        <v>0</v>
      </c>
      <c r="E155" s="389">
        <f t="shared" si="41"/>
        <v>0</v>
      </c>
      <c r="F155" s="59">
        <f t="shared" si="42"/>
        <v>0</v>
      </c>
      <c r="G155" s="59">
        <f t="shared" si="43"/>
        <v>0</v>
      </c>
      <c r="H155" s="459">
        <f t="shared" si="44"/>
        <v>0</v>
      </c>
      <c r="I155" s="443">
        <f t="shared" si="45"/>
        <v>0</v>
      </c>
      <c r="J155" s="63">
        <f t="shared" si="47"/>
        <v>0</v>
      </c>
      <c r="K155" s="53"/>
      <c r="L155" s="113"/>
      <c r="M155" s="63">
        <f t="shared" si="48"/>
        <v>0</v>
      </c>
      <c r="N155" s="113"/>
      <c r="O155" s="63">
        <f t="shared" si="49"/>
        <v>0</v>
      </c>
      <c r="P155" s="63">
        <f t="shared" si="50"/>
        <v>0</v>
      </c>
    </row>
    <row r="156" spans="2:16">
      <c r="C156" s="11" t="s">
        <v>75</v>
      </c>
      <c r="D156" s="242"/>
      <c r="E156" s="242">
        <f>SUM(E100:E155)</f>
        <v>17093290</v>
      </c>
      <c r="F156" s="242"/>
      <c r="G156" s="242"/>
      <c r="H156" s="242">
        <f>SUM(H100:H155)</f>
        <v>43981548.928890154</v>
      </c>
      <c r="I156" s="242">
        <f>SUM(I100:I155)</f>
        <v>43981548.928890154</v>
      </c>
      <c r="J156" s="242">
        <f>SUM(J100:J155)</f>
        <v>0</v>
      </c>
      <c r="K156" s="242"/>
      <c r="L156" s="242"/>
      <c r="M156" s="242"/>
      <c r="N156" s="242"/>
      <c r="O156" s="242"/>
      <c r="P156" s="1"/>
    </row>
    <row r="157" spans="2:16">
      <c r="C157" t="s">
        <v>90</v>
      </c>
      <c r="D157" s="2"/>
      <c r="E157" s="1"/>
      <c r="F157" s="1"/>
      <c r="G157" s="1"/>
      <c r="H157" s="1"/>
      <c r="I157" s="260"/>
      <c r="J157" s="260"/>
      <c r="K157" s="242"/>
      <c r="L157" s="260"/>
      <c r="M157" s="260"/>
      <c r="N157" s="260"/>
      <c r="O157" s="260"/>
      <c r="P157" s="1"/>
    </row>
    <row r="158" spans="2:16">
      <c r="C158" s="83"/>
      <c r="D158" s="2"/>
      <c r="E158" s="1"/>
      <c r="F158" s="1"/>
      <c r="G158" s="1"/>
      <c r="H158" s="1"/>
      <c r="I158" s="260"/>
      <c r="J158" s="260"/>
      <c r="K158" s="242"/>
      <c r="L158" s="260"/>
      <c r="M158" s="260"/>
      <c r="N158" s="260"/>
      <c r="O158" s="260"/>
      <c r="P158" s="1"/>
    </row>
    <row r="159" spans="2:16">
      <c r="C159" s="97" t="s">
        <v>130</v>
      </c>
      <c r="D159" s="2"/>
      <c r="E159" s="1"/>
      <c r="F159" s="1"/>
      <c r="G159" s="1"/>
      <c r="H159" s="1"/>
      <c r="I159" s="260"/>
      <c r="J159" s="260"/>
      <c r="K159" s="242"/>
      <c r="L159" s="260"/>
      <c r="M159" s="260"/>
      <c r="N159" s="260"/>
      <c r="O159" s="260"/>
      <c r="P159" s="1"/>
    </row>
    <row r="160" spans="2:16">
      <c r="C160" s="25" t="s">
        <v>76</v>
      </c>
      <c r="D160" s="11"/>
      <c r="E160" s="11"/>
      <c r="F160" s="11"/>
      <c r="G160" s="11"/>
      <c r="H160" s="242"/>
      <c r="I160" s="242"/>
      <c r="J160" s="64"/>
      <c r="K160" s="64"/>
      <c r="L160" s="64"/>
      <c r="M160" s="64"/>
      <c r="N160" s="64"/>
      <c r="O160" s="64"/>
      <c r="P160" s="1"/>
    </row>
    <row r="161" spans="3:16">
      <c r="C161" s="84" t="s">
        <v>77</v>
      </c>
      <c r="D161" s="11"/>
      <c r="E161" s="11"/>
      <c r="F161" s="11"/>
      <c r="G161" s="11"/>
      <c r="H161" s="242"/>
      <c r="I161" s="242"/>
      <c r="J161" s="64"/>
      <c r="K161" s="64"/>
      <c r="L161" s="64"/>
      <c r="M161" s="64"/>
      <c r="N161" s="64"/>
      <c r="O161" s="64"/>
      <c r="P161" s="1"/>
    </row>
    <row r="162" spans="3:16">
      <c r="C162" s="84"/>
      <c r="D162" s="11"/>
      <c r="E162" s="11"/>
      <c r="F162" s="11"/>
      <c r="G162" s="11"/>
      <c r="H162" s="242"/>
      <c r="I162" s="242"/>
      <c r="J162" s="64"/>
      <c r="K162" s="64"/>
      <c r="L162" s="64"/>
      <c r="M162" s="64"/>
      <c r="N162" s="64"/>
      <c r="O162" s="64"/>
      <c r="P162" s="1"/>
    </row>
    <row r="163" spans="3:16" ht="18">
      <c r="C163" s="84"/>
      <c r="D163" s="11"/>
      <c r="E163" s="11"/>
      <c r="F163" s="11"/>
      <c r="G163" s="11"/>
      <c r="H163" s="242"/>
      <c r="I163" s="242"/>
      <c r="J163" s="64"/>
      <c r="K163" s="64"/>
      <c r="L163" s="64"/>
      <c r="M163" s="64"/>
      <c r="N163" s="64"/>
      <c r="P163" s="95" t="s">
        <v>129</v>
      </c>
    </row>
  </sheetData>
  <conditionalFormatting sqref="C17:C73">
    <cfRule type="cellIs" dxfId="17" priority="1" stopIfTrue="1" operator="equal">
      <formula>$I$10</formula>
    </cfRule>
  </conditionalFormatting>
  <conditionalFormatting sqref="C100:C155">
    <cfRule type="cellIs" dxfId="16" priority="3" stopIfTrue="1" operator="equal">
      <formula>$J$93</formula>
    </cfRule>
  </conditionalFormatting>
  <pageMargins left="0.5" right="0.25" top="1" bottom="0.25" header="0.25" footer="0.5"/>
  <pageSetup scale="47" orientation="landscape" r:id="rId1"/>
  <headerFooter>
    <oddHeader xml:space="preserve">&amp;R&amp;16AEPTCo - SPP Formula Rate
&amp;A TCOS - Worksheets F and G
Section IV -- (BPU Project Tables)
Page: &amp;P of &amp;N&amp;10
</oddHeader>
    <oddFooter>&amp;L&amp;A</oddFooter>
  </headerFooter>
  <rowBreaks count="1" manualBreakCount="1">
    <brk id="81" max="16383"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63"/>
  <sheetViews>
    <sheetView topLeftCell="A92" zoomScale="80" zoomScaleNormal="80" workbookViewId="0">
      <selection activeCell="D94" sqref="D94"/>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9.140625" customWidth="1"/>
    <col min="23" max="23" width="9.140625" customWidth="1"/>
  </cols>
  <sheetData>
    <row r="1" spans="1:16" ht="20.25">
      <c r="A1" s="93" t="s">
        <v>189</v>
      </c>
      <c r="B1" s="1"/>
      <c r="C1" s="1"/>
      <c r="D1" s="2"/>
      <c r="E1" s="1"/>
      <c r="F1" s="7"/>
      <c r="G1" s="1"/>
      <c r="H1" s="260"/>
      <c r="K1" s="12"/>
      <c r="L1" s="12"/>
      <c r="M1" s="12"/>
      <c r="P1" s="98" t="str">
        <f ca="1">"OKT Project "&amp;RIGHT(MID(CELL("filename",$A$1),FIND("]",CELL("filename",$A$1))+1,256),2)&amp;" of "&amp;COUNT('OKT.001:OKT.xyz - blank'!$P$3)-1</f>
        <v>OKT Project 20 of 26</v>
      </c>
    </row>
    <row r="2" spans="1:16" ht="18">
      <c r="B2" s="1"/>
      <c r="C2" s="1"/>
      <c r="D2" s="2"/>
      <c r="E2" s="1"/>
      <c r="F2" s="1"/>
      <c r="G2" s="1"/>
      <c r="H2" s="260"/>
      <c r="I2" s="1"/>
      <c r="J2" s="1"/>
      <c r="K2" s="1"/>
      <c r="L2" s="1"/>
      <c r="M2" s="1"/>
      <c r="N2" s="1"/>
      <c r="P2" s="99" t="s">
        <v>131</v>
      </c>
    </row>
    <row r="3" spans="1:16" ht="18.75">
      <c r="B3" s="4" t="s">
        <v>42</v>
      </c>
      <c r="C3" s="9" t="s">
        <v>43</v>
      </c>
      <c r="D3" s="2"/>
      <c r="E3" s="1"/>
      <c r="F3" s="1"/>
      <c r="G3" s="1"/>
      <c r="H3" s="260"/>
      <c r="I3" s="260"/>
      <c r="J3" s="242"/>
      <c r="K3" s="260"/>
      <c r="L3" s="260"/>
      <c r="M3" s="260"/>
      <c r="N3" s="260"/>
      <c r="O3" s="1"/>
      <c r="P3" s="91">
        <v>1</v>
      </c>
    </row>
    <row r="4" spans="1:16" ht="15.75" thickBot="1">
      <c r="C4" s="250"/>
      <c r="D4" s="2"/>
      <c r="E4" s="1"/>
      <c r="F4" s="1"/>
      <c r="G4" s="1"/>
      <c r="H4" s="260"/>
      <c r="I4" s="260"/>
      <c r="J4" s="242"/>
      <c r="K4" s="260"/>
      <c r="L4" s="260"/>
      <c r="M4" s="260"/>
      <c r="N4" s="260"/>
      <c r="O4" s="1"/>
      <c r="P4" s="1"/>
    </row>
    <row r="5" spans="1:16" ht="15">
      <c r="C5" s="14" t="s">
        <v>44</v>
      </c>
      <c r="D5" s="2"/>
      <c r="E5" s="1"/>
      <c r="F5" s="1"/>
      <c r="G5" s="349"/>
      <c r="H5" s="1" t="s">
        <v>45</v>
      </c>
      <c r="I5" s="1"/>
      <c r="J5" s="1"/>
      <c r="K5" s="16" t="s">
        <v>242</v>
      </c>
      <c r="L5" s="17"/>
      <c r="M5" s="18"/>
      <c r="N5" s="350">
        <f>VLOOKUP(I10,C17:I73,5)</f>
        <v>482916.16092559719</v>
      </c>
      <c r="P5" s="1"/>
    </row>
    <row r="6" spans="1:16" ht="15.75">
      <c r="C6" s="6"/>
      <c r="D6" s="2"/>
      <c r="E6" s="1"/>
      <c r="F6" s="1"/>
      <c r="G6" s="1"/>
      <c r="H6" s="351"/>
      <c r="I6" s="351"/>
      <c r="J6" s="352"/>
      <c r="K6" s="22" t="s">
        <v>243</v>
      </c>
      <c r="L6" s="353"/>
      <c r="M6" s="1"/>
      <c r="N6" s="354">
        <f>VLOOKUP(I10,C17:I73,6)</f>
        <v>482916.16092559719</v>
      </c>
      <c r="O6" s="1"/>
      <c r="P6" s="1"/>
    </row>
    <row r="7" spans="1:16" ht="13.5" thickBot="1">
      <c r="C7" s="25" t="s">
        <v>46</v>
      </c>
      <c r="D7" s="87" t="s">
        <v>290</v>
      </c>
      <c r="E7" s="1"/>
      <c r="F7" s="1"/>
      <c r="G7" s="1"/>
      <c r="H7" s="260"/>
      <c r="I7" s="260"/>
      <c r="J7" s="242"/>
      <c r="K7" s="355" t="s">
        <v>47</v>
      </c>
      <c r="L7" s="356"/>
      <c r="M7" s="356"/>
      <c r="N7" s="357">
        <f>+N6-N5</f>
        <v>0</v>
      </c>
      <c r="O7" s="1"/>
      <c r="P7" s="1"/>
    </row>
    <row r="8" spans="1:16" ht="13.5" thickBot="1">
      <c r="C8" s="29"/>
      <c r="D8" s="83"/>
      <c r="E8" s="10"/>
      <c r="F8" s="10"/>
      <c r="G8" s="10"/>
      <c r="H8" s="10"/>
      <c r="I8" s="10"/>
      <c r="J8" s="10"/>
      <c r="K8" s="10"/>
      <c r="L8" s="10"/>
      <c r="M8" s="10"/>
      <c r="N8" s="10"/>
      <c r="O8" s="10"/>
      <c r="P8" s="1"/>
    </row>
    <row r="9" spans="1:16" ht="13.5" thickBot="1">
      <c r="C9" s="30" t="s">
        <v>48</v>
      </c>
      <c r="D9" s="89" t="s">
        <v>291</v>
      </c>
      <c r="E9" s="31" t="s">
        <v>310</v>
      </c>
      <c r="F9" s="31">
        <v>30809</v>
      </c>
      <c r="G9" s="31"/>
      <c r="H9" s="31"/>
      <c r="I9" s="32"/>
      <c r="J9" s="33"/>
      <c r="P9" s="1"/>
    </row>
    <row r="10" spans="1:16">
      <c r="C10" s="34" t="s">
        <v>49</v>
      </c>
      <c r="D10" s="358">
        <v>3721554.18</v>
      </c>
      <c r="E10" s="1" t="s">
        <v>50</v>
      </c>
      <c r="G10" s="2"/>
      <c r="H10" s="2"/>
      <c r="I10" s="36">
        <f>+'OKT.WS.F.BPU.ATRR.Projected'!R100</f>
        <v>2025</v>
      </c>
      <c r="J10" s="33"/>
      <c r="K10" s="242" t="s">
        <v>51</v>
      </c>
      <c r="O10" s="1"/>
      <c r="P10" s="1"/>
    </row>
    <row r="11" spans="1:16">
      <c r="C11" s="34" t="s">
        <v>52</v>
      </c>
      <c r="D11" s="37">
        <v>2020</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8">
        <v>6</v>
      </c>
      <c r="E12" s="34" t="s">
        <v>55</v>
      </c>
      <c r="F12" s="2"/>
      <c r="I12" s="40">
        <f>'OKT.WS.F.BPU.ATRR.Projected'!$F$78</f>
        <v>0.11444992740144029</v>
      </c>
      <c r="J12" s="7"/>
      <c r="K12" t="s">
        <v>56</v>
      </c>
      <c r="O12" s="1"/>
      <c r="P12" s="1"/>
    </row>
    <row r="13" spans="1:16">
      <c r="C13" s="34" t="s">
        <v>57</v>
      </c>
      <c r="D13" s="38">
        <f>+'OKT.WS.F.BPU.ATRR.Projected'!F$89</f>
        <v>30</v>
      </c>
      <c r="E13" s="34" t="s">
        <v>58</v>
      </c>
      <c r="F13" s="2"/>
      <c r="I13" s="40">
        <f>IF(G5="",I12,'OKT.WS.F.BPU.ATRR.Projected'!$F$77)</f>
        <v>0.11444992740144029</v>
      </c>
      <c r="J13" s="7"/>
      <c r="K13" s="242" t="s">
        <v>59</v>
      </c>
      <c r="L13" s="7"/>
      <c r="M13" s="7"/>
      <c r="N13" s="7"/>
      <c r="O13" s="1"/>
      <c r="P13" s="1"/>
    </row>
    <row r="14" spans="1:16" ht="13.5" thickBot="1">
      <c r="C14" s="34" t="s">
        <v>60</v>
      </c>
      <c r="D14" s="37" t="s">
        <v>61</v>
      </c>
      <c r="E14" s="1" t="s">
        <v>62</v>
      </c>
      <c r="F14" s="2"/>
      <c r="I14" s="359">
        <f>IF(D10=0,0,D10/D13)</f>
        <v>124051.80600000001</v>
      </c>
      <c r="J14" s="242"/>
      <c r="K14" s="242"/>
      <c r="L14" s="242"/>
      <c r="M14" s="242"/>
      <c r="N14" s="242"/>
      <c r="O14" s="1"/>
      <c r="P14" s="1"/>
    </row>
    <row r="15" spans="1:16"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row>
    <row r="16" spans="1:16"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row>
    <row r="17" spans="2:16">
      <c r="B17" t="str">
        <f t="shared" ref="B17:B71" si="0">IF(D17=F16,"","IU")</f>
        <v>IU</v>
      </c>
      <c r="C17" s="49">
        <f>IF(D11= "","-",D11)</f>
        <v>2020</v>
      </c>
      <c r="D17" s="455">
        <v>0</v>
      </c>
      <c r="E17" s="457">
        <v>51872.674102418707</v>
      </c>
      <c r="F17" s="457">
        <v>3491127.3258975814</v>
      </c>
      <c r="G17" s="457">
        <v>235038.97436975082</v>
      </c>
      <c r="H17" s="457">
        <v>235038.97436975082</v>
      </c>
      <c r="I17" s="51">
        <f t="shared" ref="I17:I71" si="1">H17-G17</f>
        <v>0</v>
      </c>
      <c r="J17" s="51"/>
      <c r="K17" s="114">
        <f t="shared" ref="K17:K22" si="2">+G17</f>
        <v>235038.97436975082</v>
      </c>
      <c r="L17" s="52">
        <f t="shared" ref="L17:L71" si="3">IF(K17&lt;&gt;0,+G17-K17,0)</f>
        <v>0</v>
      </c>
      <c r="M17" s="114">
        <f t="shared" ref="M17:M22" si="4">+H17</f>
        <v>235038.97436975082</v>
      </c>
      <c r="N17" s="52">
        <f t="shared" ref="N17:N71" si="5">IF(M17&lt;&gt;0,+H17-M17,0)</f>
        <v>0</v>
      </c>
      <c r="O17" s="53">
        <f t="shared" ref="O17:O71" si="6">+N17-L17</f>
        <v>0</v>
      </c>
      <c r="P17" s="1"/>
    </row>
    <row r="18" spans="2:16">
      <c r="B18" t="str">
        <f t="shared" si="0"/>
        <v>IU</v>
      </c>
      <c r="C18" s="49">
        <f>IF(D11="","-",+C17+1)</f>
        <v>2021</v>
      </c>
      <c r="D18" s="435">
        <v>3889537.3258975814</v>
      </c>
      <c r="E18" s="434">
        <v>127142.25806451614</v>
      </c>
      <c r="F18" s="435">
        <v>3762395.0678330651</v>
      </c>
      <c r="G18" s="434">
        <v>541054.66812252079</v>
      </c>
      <c r="H18" s="438">
        <v>541054.66812252079</v>
      </c>
      <c r="I18" s="51">
        <f t="shared" si="1"/>
        <v>0</v>
      </c>
      <c r="J18" s="51"/>
      <c r="K18" s="419">
        <f t="shared" si="2"/>
        <v>541054.66812252079</v>
      </c>
      <c r="L18" s="422">
        <f t="shared" si="3"/>
        <v>0</v>
      </c>
      <c r="M18" s="419">
        <f t="shared" si="4"/>
        <v>541054.66812252079</v>
      </c>
      <c r="N18" s="53">
        <f t="shared" si="5"/>
        <v>0</v>
      </c>
      <c r="O18" s="53">
        <f t="shared" si="6"/>
        <v>0</v>
      </c>
      <c r="P18" s="1"/>
    </row>
    <row r="19" spans="2:16">
      <c r="B19" t="str">
        <f t="shared" si="0"/>
        <v>IU</v>
      </c>
      <c r="C19" s="49">
        <f>IF(D11="","-",+C18+1)</f>
        <v>2022</v>
      </c>
      <c r="D19" s="435">
        <v>3429335.0678330651</v>
      </c>
      <c r="E19" s="434">
        <v>109343.93939393939</v>
      </c>
      <c r="F19" s="435">
        <v>3319991.1284391256</v>
      </c>
      <c r="G19" s="434">
        <v>496616.13885375595</v>
      </c>
      <c r="H19" s="438">
        <v>496616.13885375595</v>
      </c>
      <c r="I19" s="51">
        <f t="shared" si="1"/>
        <v>0</v>
      </c>
      <c r="J19" s="51"/>
      <c r="K19" s="419">
        <f t="shared" si="2"/>
        <v>496616.13885375595</v>
      </c>
      <c r="L19" s="422">
        <f t="shared" ref="L19" si="7">IF(K19&lt;&gt;0,+G19-K19,0)</f>
        <v>0</v>
      </c>
      <c r="M19" s="419">
        <f t="shared" si="4"/>
        <v>496616.13885375595</v>
      </c>
      <c r="N19" s="53">
        <f t="shared" si="5"/>
        <v>0</v>
      </c>
      <c r="O19" s="53">
        <f t="shared" si="6"/>
        <v>0</v>
      </c>
      <c r="P19" s="1"/>
    </row>
    <row r="20" spans="2:16">
      <c r="B20" t="str">
        <f t="shared" si="0"/>
        <v>IU</v>
      </c>
      <c r="C20" s="49">
        <f>IF(D11="","-",+C19+1)</f>
        <v>2023</v>
      </c>
      <c r="D20" s="435">
        <v>3294237.4384391252</v>
      </c>
      <c r="E20" s="434">
        <v>115567.6229032258</v>
      </c>
      <c r="F20" s="435">
        <v>3178669.8155358993</v>
      </c>
      <c r="G20" s="434">
        <v>481393.21655361552</v>
      </c>
      <c r="H20" s="438">
        <v>481393.21655361552</v>
      </c>
      <c r="I20" s="51">
        <f t="shared" si="1"/>
        <v>0</v>
      </c>
      <c r="J20" s="51"/>
      <c r="K20" s="419">
        <f t="shared" si="2"/>
        <v>481393.21655361552</v>
      </c>
      <c r="L20" s="422">
        <f t="shared" ref="L20" si="8">IF(K20&lt;&gt;0,+G20-K20,0)</f>
        <v>0</v>
      </c>
      <c r="M20" s="419">
        <f t="shared" si="4"/>
        <v>481393.21655361552</v>
      </c>
      <c r="N20" s="53">
        <f t="shared" si="5"/>
        <v>0</v>
      </c>
      <c r="O20" s="53">
        <f t="shared" si="6"/>
        <v>0</v>
      </c>
      <c r="P20" s="1"/>
    </row>
    <row r="21" spans="2:16">
      <c r="B21" t="str">
        <f t="shared" si="0"/>
        <v>IU</v>
      </c>
      <c r="C21" s="49">
        <f>IF(D11="","-",+C20+1)</f>
        <v>2024</v>
      </c>
      <c r="D21" s="435">
        <v>3317439.0355358999</v>
      </c>
      <c r="E21" s="434">
        <v>120044.0493548387</v>
      </c>
      <c r="F21" s="435">
        <v>3197394.9861810612</v>
      </c>
      <c r="G21" s="434">
        <v>491166.88926081697</v>
      </c>
      <c r="H21" s="438">
        <v>491166.88926081697</v>
      </c>
      <c r="I21" s="51">
        <f t="shared" si="1"/>
        <v>0</v>
      </c>
      <c r="J21" s="51"/>
      <c r="K21" s="419">
        <f t="shared" si="2"/>
        <v>491166.88926081697</v>
      </c>
      <c r="L21" s="422">
        <f t="shared" ref="L21" si="9">IF(K21&lt;&gt;0,+G21-K21,0)</f>
        <v>0</v>
      </c>
      <c r="M21" s="419">
        <f t="shared" si="4"/>
        <v>491166.88926081697</v>
      </c>
      <c r="N21" s="53">
        <f t="shared" ref="N21" si="10">IF(M21&lt;&gt;0,+H21-M21,0)</f>
        <v>0</v>
      </c>
      <c r="O21" s="53">
        <f t="shared" ref="O21" si="11">+N21-L21</f>
        <v>0</v>
      </c>
      <c r="P21" s="1"/>
    </row>
    <row r="22" spans="2:16">
      <c r="B22" t="str">
        <f t="shared" si="0"/>
        <v>IU</v>
      </c>
      <c r="C22" s="49">
        <f>IF(D11="","-",+C21+1)</f>
        <v>2025</v>
      </c>
      <c r="D22" s="435">
        <v>3197583.6361810616</v>
      </c>
      <c r="E22" s="434">
        <v>124051.80600000001</v>
      </c>
      <c r="F22" s="435">
        <v>3073531.8301810618</v>
      </c>
      <c r="G22" s="434">
        <v>482916.16092559719</v>
      </c>
      <c r="H22" s="438">
        <v>482916.16092559719</v>
      </c>
      <c r="I22" s="51">
        <f t="shared" si="1"/>
        <v>0</v>
      </c>
      <c r="J22" s="51"/>
      <c r="K22" s="419">
        <f t="shared" si="2"/>
        <v>482916.16092559719</v>
      </c>
      <c r="L22" s="422">
        <f t="shared" ref="L22" si="12">IF(K22&lt;&gt;0,+G22-K22,0)</f>
        <v>0</v>
      </c>
      <c r="M22" s="419">
        <f t="shared" si="4"/>
        <v>482916.16092559719</v>
      </c>
      <c r="N22" s="53">
        <f t="shared" ref="N22" si="13">IF(M22&lt;&gt;0,+H22-M22,0)</f>
        <v>0</v>
      </c>
      <c r="O22" s="53">
        <f t="shared" ref="O22" si="14">+N22-L22</f>
        <v>0</v>
      </c>
      <c r="P22" s="1"/>
    </row>
    <row r="23" spans="2:16">
      <c r="B23" t="str">
        <f t="shared" si="0"/>
        <v/>
      </c>
      <c r="C23" s="49">
        <f>IF(D11="","-",+C22+1)</f>
        <v>2026</v>
      </c>
      <c r="D23" s="54">
        <f>IF(F22+SUM(E$17:E22)=D$10,F22,D$10-SUM(E$17:E22))</f>
        <v>3073531.8301810618</v>
      </c>
      <c r="E23" s="377">
        <f t="shared" ref="E23:E71" si="15">IF(+I$14&lt;F22,I$14,D23)</f>
        <v>124051.80600000001</v>
      </c>
      <c r="F23" s="54">
        <f t="shared" ref="F23:F71" si="16">+D23-E23</f>
        <v>2949480.0241810619</v>
      </c>
      <c r="G23" s="378">
        <f t="shared" ref="G23:G71" si="17">(D23+F23)/2*I$12+E23</f>
        <v>468718.4407348797</v>
      </c>
      <c r="H23" s="359">
        <f t="shared" ref="H23:H71" si="18">+(D23+F23)/2*I$13+E23</f>
        <v>468718.4407348797</v>
      </c>
      <c r="I23" s="51">
        <f t="shared" si="1"/>
        <v>0</v>
      </c>
      <c r="J23" s="51"/>
      <c r="K23" s="112"/>
      <c r="L23" s="53">
        <f t="shared" si="3"/>
        <v>0</v>
      </c>
      <c r="M23" s="112"/>
      <c r="N23" s="53">
        <f t="shared" si="5"/>
        <v>0</v>
      </c>
      <c r="O23" s="53">
        <f t="shared" si="6"/>
        <v>0</v>
      </c>
      <c r="P23" s="1"/>
    </row>
    <row r="24" spans="2:16">
      <c r="B24" t="str">
        <f t="shared" si="0"/>
        <v/>
      </c>
      <c r="C24" s="49">
        <f>IF(D11="","-",+C23+1)</f>
        <v>2027</v>
      </c>
      <c r="D24" s="54">
        <f>IF(F23+SUM(E$17:E23)=D$10,F23,D$10-SUM(E$17:E23))</f>
        <v>2949480.0241810619</v>
      </c>
      <c r="E24" s="377">
        <f t="shared" si="15"/>
        <v>124051.80600000001</v>
      </c>
      <c r="F24" s="54">
        <f t="shared" si="16"/>
        <v>2825428.218181062</v>
      </c>
      <c r="G24" s="378">
        <f t="shared" si="17"/>
        <v>454520.72054416209</v>
      </c>
      <c r="H24" s="359">
        <f t="shared" si="18"/>
        <v>454520.72054416209</v>
      </c>
      <c r="I24" s="51">
        <f t="shared" si="1"/>
        <v>0</v>
      </c>
      <c r="J24" s="51"/>
      <c r="K24" s="112"/>
      <c r="L24" s="53">
        <f t="shared" si="3"/>
        <v>0</v>
      </c>
      <c r="M24" s="112"/>
      <c r="N24" s="53">
        <f t="shared" si="5"/>
        <v>0</v>
      </c>
      <c r="O24" s="53">
        <f t="shared" si="6"/>
        <v>0</v>
      </c>
      <c r="P24" s="1"/>
    </row>
    <row r="25" spans="2:16">
      <c r="B25" t="str">
        <f t="shared" si="0"/>
        <v/>
      </c>
      <c r="C25" s="49">
        <f>IF(D11="","-",+C24+1)</f>
        <v>2028</v>
      </c>
      <c r="D25" s="54">
        <f>IF(F24+SUM(E$17:E24)=D$10,F24,D$10-SUM(E$17:E24))</f>
        <v>2825428.218181062</v>
      </c>
      <c r="E25" s="377">
        <f t="shared" si="15"/>
        <v>124051.80600000001</v>
      </c>
      <c r="F25" s="54">
        <f t="shared" si="16"/>
        <v>2701376.4121810622</v>
      </c>
      <c r="G25" s="378">
        <f t="shared" si="17"/>
        <v>440323.0003534446</v>
      </c>
      <c r="H25" s="359">
        <f t="shared" si="18"/>
        <v>440323.0003534446</v>
      </c>
      <c r="I25" s="51">
        <f t="shared" si="1"/>
        <v>0</v>
      </c>
      <c r="J25" s="51"/>
      <c r="K25" s="112"/>
      <c r="L25" s="53">
        <f t="shared" si="3"/>
        <v>0</v>
      </c>
      <c r="M25" s="112"/>
      <c r="N25" s="53">
        <f t="shared" si="5"/>
        <v>0</v>
      </c>
      <c r="O25" s="53">
        <f t="shared" si="6"/>
        <v>0</v>
      </c>
      <c r="P25" s="1"/>
    </row>
    <row r="26" spans="2:16">
      <c r="B26" t="str">
        <f t="shared" si="0"/>
        <v/>
      </c>
      <c r="C26" s="49">
        <f>IF(D11="","-",+C25+1)</f>
        <v>2029</v>
      </c>
      <c r="D26" s="54">
        <f>IF(F25+SUM(E$17:E25)=D$10,F25,D$10-SUM(E$17:E25))</f>
        <v>2701376.4121810622</v>
      </c>
      <c r="E26" s="377">
        <f t="shared" si="15"/>
        <v>124051.80600000001</v>
      </c>
      <c r="F26" s="54">
        <f t="shared" si="16"/>
        <v>2577324.6061810623</v>
      </c>
      <c r="G26" s="378">
        <f t="shared" si="17"/>
        <v>426125.28016272699</v>
      </c>
      <c r="H26" s="359">
        <f t="shared" si="18"/>
        <v>426125.28016272699</v>
      </c>
      <c r="I26" s="51">
        <f t="shared" si="1"/>
        <v>0</v>
      </c>
      <c r="J26" s="51"/>
      <c r="K26" s="112"/>
      <c r="L26" s="53">
        <f t="shared" si="3"/>
        <v>0</v>
      </c>
      <c r="M26" s="112"/>
      <c r="N26" s="53">
        <f t="shared" si="5"/>
        <v>0</v>
      </c>
      <c r="O26" s="53">
        <f t="shared" si="6"/>
        <v>0</v>
      </c>
      <c r="P26" s="1"/>
    </row>
    <row r="27" spans="2:16">
      <c r="B27" t="str">
        <f t="shared" si="0"/>
        <v/>
      </c>
      <c r="C27" s="49">
        <f>IF(D11="","-",+C26+1)</f>
        <v>2030</v>
      </c>
      <c r="D27" s="54">
        <f>IF(F26+SUM(E$17:E26)=D$10,F26,D$10-SUM(E$17:E26))</f>
        <v>2577324.6061810623</v>
      </c>
      <c r="E27" s="377">
        <f t="shared" si="15"/>
        <v>124051.80600000001</v>
      </c>
      <c r="F27" s="54">
        <f t="shared" si="16"/>
        <v>2453272.8001810624</v>
      </c>
      <c r="G27" s="378">
        <f t="shared" si="17"/>
        <v>411927.55997200951</v>
      </c>
      <c r="H27" s="359">
        <f t="shared" si="18"/>
        <v>411927.55997200951</v>
      </c>
      <c r="I27" s="51">
        <f t="shared" si="1"/>
        <v>0</v>
      </c>
      <c r="J27" s="51"/>
      <c r="K27" s="112"/>
      <c r="L27" s="53">
        <f t="shared" si="3"/>
        <v>0</v>
      </c>
      <c r="M27" s="112"/>
      <c r="N27" s="53">
        <f t="shared" si="5"/>
        <v>0</v>
      </c>
      <c r="O27" s="53">
        <f t="shared" si="6"/>
        <v>0</v>
      </c>
      <c r="P27" s="1"/>
    </row>
    <row r="28" spans="2:16">
      <c r="B28" t="str">
        <f t="shared" si="0"/>
        <v/>
      </c>
      <c r="C28" s="49">
        <f>IF(D11="","-",+C27+1)</f>
        <v>2031</v>
      </c>
      <c r="D28" s="54">
        <f>IF(F27+SUM(E$17:E27)=D$10,F27,D$10-SUM(E$17:E27))</f>
        <v>2453272.8001810624</v>
      </c>
      <c r="E28" s="377">
        <f t="shared" si="15"/>
        <v>124051.80600000001</v>
      </c>
      <c r="F28" s="54">
        <f t="shared" si="16"/>
        <v>2329220.9941810626</v>
      </c>
      <c r="G28" s="378">
        <f t="shared" si="17"/>
        <v>397729.83978129202</v>
      </c>
      <c r="H28" s="359">
        <f t="shared" si="18"/>
        <v>397729.83978129202</v>
      </c>
      <c r="I28" s="51">
        <f t="shared" si="1"/>
        <v>0</v>
      </c>
      <c r="J28" s="51"/>
      <c r="K28" s="112"/>
      <c r="L28" s="53">
        <f t="shared" si="3"/>
        <v>0</v>
      </c>
      <c r="M28" s="112"/>
      <c r="N28" s="53">
        <f t="shared" si="5"/>
        <v>0</v>
      </c>
      <c r="O28" s="53">
        <f t="shared" si="6"/>
        <v>0</v>
      </c>
      <c r="P28" s="1"/>
    </row>
    <row r="29" spans="2:16">
      <c r="B29" t="str">
        <f t="shared" si="0"/>
        <v/>
      </c>
      <c r="C29" s="49">
        <f>IF(D11="","-",+C28+1)</f>
        <v>2032</v>
      </c>
      <c r="D29" s="54">
        <f>IF(F28+SUM(E$17:E28)=D$10,F28,D$10-SUM(E$17:E28))</f>
        <v>2329220.9941810626</v>
      </c>
      <c r="E29" s="377">
        <f t="shared" si="15"/>
        <v>124051.80600000001</v>
      </c>
      <c r="F29" s="54">
        <f t="shared" si="16"/>
        <v>2205169.1881810627</v>
      </c>
      <c r="G29" s="378">
        <f t="shared" si="17"/>
        <v>383532.11959057441</v>
      </c>
      <c r="H29" s="359">
        <f t="shared" si="18"/>
        <v>383532.11959057441</v>
      </c>
      <c r="I29" s="51">
        <f t="shared" si="1"/>
        <v>0</v>
      </c>
      <c r="J29" s="51"/>
      <c r="K29" s="112"/>
      <c r="L29" s="53">
        <f t="shared" si="3"/>
        <v>0</v>
      </c>
      <c r="M29" s="112"/>
      <c r="N29" s="53">
        <f t="shared" si="5"/>
        <v>0</v>
      </c>
      <c r="O29" s="53">
        <f t="shared" si="6"/>
        <v>0</v>
      </c>
      <c r="P29" s="1"/>
    </row>
    <row r="30" spans="2:16">
      <c r="B30" t="str">
        <f t="shared" si="0"/>
        <v/>
      </c>
      <c r="C30" s="49">
        <f>IF(D11="","-",+C29+1)</f>
        <v>2033</v>
      </c>
      <c r="D30" s="54">
        <f>IF(F29+SUM(E$17:E29)=D$10,F29,D$10-SUM(E$17:E29))</f>
        <v>2205169.1881810627</v>
      </c>
      <c r="E30" s="377">
        <f t="shared" si="15"/>
        <v>124051.80600000001</v>
      </c>
      <c r="F30" s="54">
        <f t="shared" si="16"/>
        <v>2081117.3821810626</v>
      </c>
      <c r="G30" s="378">
        <f t="shared" si="17"/>
        <v>369334.39939985692</v>
      </c>
      <c r="H30" s="359">
        <f t="shared" si="18"/>
        <v>369334.39939985692</v>
      </c>
      <c r="I30" s="51">
        <f t="shared" si="1"/>
        <v>0</v>
      </c>
      <c r="J30" s="51"/>
      <c r="K30" s="112"/>
      <c r="L30" s="53">
        <f t="shared" si="3"/>
        <v>0</v>
      </c>
      <c r="M30" s="112"/>
      <c r="N30" s="53">
        <f t="shared" si="5"/>
        <v>0</v>
      </c>
      <c r="O30" s="53">
        <f t="shared" si="6"/>
        <v>0</v>
      </c>
      <c r="P30" s="1"/>
    </row>
    <row r="31" spans="2:16">
      <c r="B31" t="str">
        <f t="shared" si="0"/>
        <v/>
      </c>
      <c r="C31" s="49">
        <f>IF(D11="","-",+C30+1)</f>
        <v>2034</v>
      </c>
      <c r="D31" s="54">
        <f>IF(F30+SUM(E$17:E30)=D$10,F30,D$10-SUM(E$17:E30))</f>
        <v>2081117.3821810626</v>
      </c>
      <c r="E31" s="377">
        <f t="shared" si="15"/>
        <v>124051.80600000001</v>
      </c>
      <c r="F31" s="54">
        <f t="shared" si="16"/>
        <v>1957065.5761810625</v>
      </c>
      <c r="G31" s="378">
        <f t="shared" si="17"/>
        <v>355136.67920913931</v>
      </c>
      <c r="H31" s="359">
        <f t="shared" si="18"/>
        <v>355136.67920913931</v>
      </c>
      <c r="I31" s="51">
        <f t="shared" si="1"/>
        <v>0</v>
      </c>
      <c r="J31" s="51"/>
      <c r="K31" s="112"/>
      <c r="L31" s="53">
        <f t="shared" si="3"/>
        <v>0</v>
      </c>
      <c r="M31" s="112"/>
      <c r="N31" s="53">
        <f t="shared" si="5"/>
        <v>0</v>
      </c>
      <c r="O31" s="53">
        <f t="shared" si="6"/>
        <v>0</v>
      </c>
      <c r="P31" s="1"/>
    </row>
    <row r="32" spans="2:16">
      <c r="B32" t="str">
        <f t="shared" si="0"/>
        <v/>
      </c>
      <c r="C32" s="49">
        <f>IF(D11="","-",+C31+1)</f>
        <v>2035</v>
      </c>
      <c r="D32" s="54">
        <f>IF(F31+SUM(E$17:E31)=D$10,F31,D$10-SUM(E$17:E31))</f>
        <v>1957065.5761810625</v>
      </c>
      <c r="E32" s="377">
        <f t="shared" si="15"/>
        <v>124051.80600000001</v>
      </c>
      <c r="F32" s="54">
        <f t="shared" si="16"/>
        <v>1833013.7701810624</v>
      </c>
      <c r="G32" s="378">
        <f t="shared" si="17"/>
        <v>340938.95901842177</v>
      </c>
      <c r="H32" s="359">
        <f t="shared" si="18"/>
        <v>340938.95901842177</v>
      </c>
      <c r="I32" s="51">
        <f t="shared" si="1"/>
        <v>0</v>
      </c>
      <c r="J32" s="51"/>
      <c r="K32" s="112"/>
      <c r="L32" s="53">
        <f t="shared" si="3"/>
        <v>0</v>
      </c>
      <c r="M32" s="112"/>
      <c r="N32" s="53">
        <f t="shared" si="5"/>
        <v>0</v>
      </c>
      <c r="O32" s="53">
        <f t="shared" si="6"/>
        <v>0</v>
      </c>
      <c r="P32" s="1"/>
    </row>
    <row r="33" spans="2:16">
      <c r="B33" t="str">
        <f t="shared" si="0"/>
        <v/>
      </c>
      <c r="C33" s="49">
        <f>IF(D11="","-",+C32+1)</f>
        <v>2036</v>
      </c>
      <c r="D33" s="54">
        <f>IF(F32+SUM(E$17:E32)=D$10,F32,D$10-SUM(E$17:E32))</f>
        <v>1833013.7701810624</v>
      </c>
      <c r="E33" s="377">
        <f t="shared" si="15"/>
        <v>124051.80600000001</v>
      </c>
      <c r="F33" s="54">
        <f t="shared" si="16"/>
        <v>1708961.9641810623</v>
      </c>
      <c r="G33" s="378">
        <f t="shared" si="17"/>
        <v>326741.23882770416</v>
      </c>
      <c r="H33" s="359">
        <f t="shared" si="18"/>
        <v>326741.23882770416</v>
      </c>
      <c r="I33" s="51">
        <f t="shared" si="1"/>
        <v>0</v>
      </c>
      <c r="J33" s="51"/>
      <c r="K33" s="112"/>
      <c r="L33" s="53">
        <f t="shared" si="3"/>
        <v>0</v>
      </c>
      <c r="M33" s="112"/>
      <c r="N33" s="53">
        <f t="shared" si="5"/>
        <v>0</v>
      </c>
      <c r="O33" s="53">
        <f t="shared" si="6"/>
        <v>0</v>
      </c>
      <c r="P33" s="1"/>
    </row>
    <row r="34" spans="2:16">
      <c r="B34" t="str">
        <f t="shared" si="0"/>
        <v/>
      </c>
      <c r="C34" s="49">
        <f>IF(D11="","-",+C33+1)</f>
        <v>2037</v>
      </c>
      <c r="D34" s="54">
        <f>IF(F33+SUM(E$17:E33)=D$10,F33,D$10-SUM(E$17:E33))</f>
        <v>1708961.9641810623</v>
      </c>
      <c r="E34" s="377">
        <f t="shared" si="15"/>
        <v>124051.80600000001</v>
      </c>
      <c r="F34" s="54">
        <f t="shared" si="16"/>
        <v>1584910.1581810622</v>
      </c>
      <c r="G34" s="378">
        <f t="shared" si="17"/>
        <v>312543.51863698661</v>
      </c>
      <c r="H34" s="359">
        <f t="shared" si="18"/>
        <v>312543.51863698661</v>
      </c>
      <c r="I34" s="51">
        <f t="shared" si="1"/>
        <v>0</v>
      </c>
      <c r="J34" s="51"/>
      <c r="K34" s="112"/>
      <c r="L34" s="53">
        <f t="shared" si="3"/>
        <v>0</v>
      </c>
      <c r="M34" s="112"/>
      <c r="N34" s="53">
        <f t="shared" si="5"/>
        <v>0</v>
      </c>
      <c r="O34" s="53">
        <f t="shared" si="6"/>
        <v>0</v>
      </c>
      <c r="P34" s="1"/>
    </row>
    <row r="35" spans="2:16">
      <c r="B35" t="str">
        <f t="shared" si="0"/>
        <v/>
      </c>
      <c r="C35" s="49">
        <f>IF(D11="","-",+C34+1)</f>
        <v>2038</v>
      </c>
      <c r="D35" s="54">
        <f>IF(F34+SUM(E$17:E34)=D$10,F34,D$10-SUM(E$17:E34))</f>
        <v>1584910.1581810622</v>
      </c>
      <c r="E35" s="377">
        <f t="shared" si="15"/>
        <v>124051.80600000001</v>
      </c>
      <c r="F35" s="54">
        <f t="shared" si="16"/>
        <v>1460858.3521810621</v>
      </c>
      <c r="G35" s="378">
        <f t="shared" si="17"/>
        <v>298345.79844626901</v>
      </c>
      <c r="H35" s="359">
        <f t="shared" si="18"/>
        <v>298345.79844626901</v>
      </c>
      <c r="I35" s="51">
        <f t="shared" si="1"/>
        <v>0</v>
      </c>
      <c r="J35" s="51"/>
      <c r="K35" s="112"/>
      <c r="L35" s="53">
        <f t="shared" si="3"/>
        <v>0</v>
      </c>
      <c r="M35" s="112"/>
      <c r="N35" s="53">
        <f t="shared" si="5"/>
        <v>0</v>
      </c>
      <c r="O35" s="53">
        <f t="shared" si="6"/>
        <v>0</v>
      </c>
      <c r="P35" s="1"/>
    </row>
    <row r="36" spans="2:16">
      <c r="B36" t="str">
        <f t="shared" si="0"/>
        <v/>
      </c>
      <c r="C36" s="49">
        <f>IF(D11="","-",+C35+1)</f>
        <v>2039</v>
      </c>
      <c r="D36" s="54">
        <f>IF(F35+SUM(E$17:E35)=D$10,F35,D$10-SUM(E$17:E35))</f>
        <v>1460858.3521810621</v>
      </c>
      <c r="E36" s="377">
        <f t="shared" si="15"/>
        <v>124051.80600000001</v>
      </c>
      <c r="F36" s="54">
        <f t="shared" si="16"/>
        <v>1336806.546181062</v>
      </c>
      <c r="G36" s="378">
        <f t="shared" si="17"/>
        <v>284148.07825555152</v>
      </c>
      <c r="H36" s="359">
        <f t="shared" si="18"/>
        <v>284148.07825555152</v>
      </c>
      <c r="I36" s="51">
        <f t="shared" si="1"/>
        <v>0</v>
      </c>
      <c r="J36" s="51"/>
      <c r="K36" s="112"/>
      <c r="L36" s="53">
        <f t="shared" si="3"/>
        <v>0</v>
      </c>
      <c r="M36" s="112"/>
      <c r="N36" s="53">
        <f t="shared" si="5"/>
        <v>0</v>
      </c>
      <c r="O36" s="53">
        <f t="shared" si="6"/>
        <v>0</v>
      </c>
      <c r="P36" s="1"/>
    </row>
    <row r="37" spans="2:16">
      <c r="B37" t="str">
        <f t="shared" si="0"/>
        <v/>
      </c>
      <c r="C37" s="49">
        <f>IF(D11="","-",+C36+1)</f>
        <v>2040</v>
      </c>
      <c r="D37" s="54">
        <f>IF(F36+SUM(E$17:E36)=D$10,F36,D$10-SUM(E$17:E36))</f>
        <v>1336806.546181062</v>
      </c>
      <c r="E37" s="377">
        <f t="shared" si="15"/>
        <v>124051.80600000001</v>
      </c>
      <c r="F37" s="54">
        <f t="shared" si="16"/>
        <v>1212754.7401810619</v>
      </c>
      <c r="G37" s="378">
        <f t="shared" si="17"/>
        <v>269950.35806483391</v>
      </c>
      <c r="H37" s="359">
        <f t="shared" si="18"/>
        <v>269950.35806483391</v>
      </c>
      <c r="I37" s="51">
        <f t="shared" si="1"/>
        <v>0</v>
      </c>
      <c r="J37" s="51"/>
      <c r="K37" s="112"/>
      <c r="L37" s="53">
        <f t="shared" si="3"/>
        <v>0</v>
      </c>
      <c r="M37" s="112"/>
      <c r="N37" s="53">
        <f t="shared" si="5"/>
        <v>0</v>
      </c>
      <c r="O37" s="53">
        <f t="shared" si="6"/>
        <v>0</v>
      </c>
      <c r="P37" s="1"/>
    </row>
    <row r="38" spans="2:16">
      <c r="B38" t="str">
        <f t="shared" si="0"/>
        <v/>
      </c>
      <c r="C38" s="49">
        <f>IF(D11="","-",+C37+1)</f>
        <v>2041</v>
      </c>
      <c r="D38" s="54">
        <f>IF(F37+SUM(E$17:E37)=D$10,F37,D$10-SUM(E$17:E37))</f>
        <v>1212754.7401810619</v>
      </c>
      <c r="E38" s="377">
        <f t="shared" si="15"/>
        <v>124051.80600000001</v>
      </c>
      <c r="F38" s="54">
        <f t="shared" si="16"/>
        <v>1088702.9341810618</v>
      </c>
      <c r="G38" s="378">
        <f t="shared" si="17"/>
        <v>255752.63787411636</v>
      </c>
      <c r="H38" s="359">
        <f t="shared" si="18"/>
        <v>255752.63787411636</v>
      </c>
      <c r="I38" s="51">
        <f t="shared" si="1"/>
        <v>0</v>
      </c>
      <c r="J38" s="51"/>
      <c r="K38" s="112"/>
      <c r="L38" s="53">
        <f t="shared" si="3"/>
        <v>0</v>
      </c>
      <c r="M38" s="112"/>
      <c r="N38" s="53">
        <f t="shared" si="5"/>
        <v>0</v>
      </c>
      <c r="O38" s="53">
        <f t="shared" si="6"/>
        <v>0</v>
      </c>
      <c r="P38" s="1"/>
    </row>
    <row r="39" spans="2:16">
      <c r="B39" t="str">
        <f t="shared" si="0"/>
        <v/>
      </c>
      <c r="C39" s="49">
        <f>IF(D11="","-",+C38+1)</f>
        <v>2042</v>
      </c>
      <c r="D39" s="54">
        <f>IF(F38+SUM(E$17:E38)=D$10,F38,D$10-SUM(E$17:E38))</f>
        <v>1088702.9341810618</v>
      </c>
      <c r="E39" s="377">
        <f t="shared" si="15"/>
        <v>124051.80600000001</v>
      </c>
      <c r="F39" s="54">
        <f t="shared" si="16"/>
        <v>964651.12818106182</v>
      </c>
      <c r="G39" s="378">
        <f t="shared" si="17"/>
        <v>241554.91768339879</v>
      </c>
      <c r="H39" s="359">
        <f t="shared" si="18"/>
        <v>241554.91768339879</v>
      </c>
      <c r="I39" s="51">
        <f t="shared" si="1"/>
        <v>0</v>
      </c>
      <c r="J39" s="51"/>
      <c r="K39" s="112"/>
      <c r="L39" s="53">
        <f t="shared" si="3"/>
        <v>0</v>
      </c>
      <c r="M39" s="112"/>
      <c r="N39" s="53">
        <f t="shared" si="5"/>
        <v>0</v>
      </c>
      <c r="O39" s="53">
        <f t="shared" si="6"/>
        <v>0</v>
      </c>
      <c r="P39" s="1"/>
    </row>
    <row r="40" spans="2:16">
      <c r="B40" t="str">
        <f t="shared" si="0"/>
        <v/>
      </c>
      <c r="C40" s="49">
        <f>IF(D11="","-",+C39+1)</f>
        <v>2043</v>
      </c>
      <c r="D40" s="54">
        <f>IF(F39+SUM(E$17:E39)=D$10,F39,D$10-SUM(E$17:E39))</f>
        <v>964651.12818106182</v>
      </c>
      <c r="E40" s="377">
        <f t="shared" si="15"/>
        <v>124051.80600000001</v>
      </c>
      <c r="F40" s="54">
        <f t="shared" si="16"/>
        <v>840599.32218106184</v>
      </c>
      <c r="G40" s="378">
        <f t="shared" si="17"/>
        <v>227357.19749268121</v>
      </c>
      <c r="H40" s="359">
        <f t="shared" si="18"/>
        <v>227357.19749268121</v>
      </c>
      <c r="I40" s="51">
        <f t="shared" si="1"/>
        <v>0</v>
      </c>
      <c r="J40" s="51"/>
      <c r="K40" s="112"/>
      <c r="L40" s="53">
        <f t="shared" si="3"/>
        <v>0</v>
      </c>
      <c r="M40" s="112"/>
      <c r="N40" s="53">
        <f t="shared" si="5"/>
        <v>0</v>
      </c>
      <c r="O40" s="53">
        <f t="shared" si="6"/>
        <v>0</v>
      </c>
      <c r="P40" s="1"/>
    </row>
    <row r="41" spans="2:16">
      <c r="B41" t="str">
        <f t="shared" si="0"/>
        <v/>
      </c>
      <c r="C41" s="49">
        <f>IF(D11="","-",+C40+1)</f>
        <v>2044</v>
      </c>
      <c r="D41" s="54">
        <f>IF(F40+SUM(E$17:E40)=D$10,F40,D$10-SUM(E$17:E40))</f>
        <v>840599.32218106184</v>
      </c>
      <c r="E41" s="377">
        <f t="shared" si="15"/>
        <v>124051.80600000001</v>
      </c>
      <c r="F41" s="54">
        <f t="shared" si="16"/>
        <v>716547.51618106186</v>
      </c>
      <c r="G41" s="378">
        <f t="shared" si="17"/>
        <v>213159.47730196369</v>
      </c>
      <c r="H41" s="359">
        <f t="shared" si="18"/>
        <v>213159.47730196369</v>
      </c>
      <c r="I41" s="51">
        <f t="shared" si="1"/>
        <v>0</v>
      </c>
      <c r="J41" s="51"/>
      <c r="K41" s="112"/>
      <c r="L41" s="53">
        <f t="shared" si="3"/>
        <v>0</v>
      </c>
      <c r="M41" s="112"/>
      <c r="N41" s="53">
        <f t="shared" si="5"/>
        <v>0</v>
      </c>
      <c r="O41" s="53">
        <f t="shared" si="6"/>
        <v>0</v>
      </c>
      <c r="P41" s="1"/>
    </row>
    <row r="42" spans="2:16">
      <c r="B42" t="str">
        <f t="shared" si="0"/>
        <v/>
      </c>
      <c r="C42" s="49">
        <f>IF(D11="","-",+C41+1)</f>
        <v>2045</v>
      </c>
      <c r="D42" s="54">
        <f>IF(F41+SUM(E$17:E41)=D$10,F41,D$10-SUM(E$17:E41))</f>
        <v>716547.51618106186</v>
      </c>
      <c r="E42" s="377">
        <f t="shared" si="15"/>
        <v>124051.80600000001</v>
      </c>
      <c r="F42" s="54">
        <f t="shared" si="16"/>
        <v>592495.71018106188</v>
      </c>
      <c r="G42" s="378">
        <f t="shared" si="17"/>
        <v>198961.75711124612</v>
      </c>
      <c r="H42" s="359">
        <f t="shared" si="18"/>
        <v>198961.75711124612</v>
      </c>
      <c r="I42" s="51">
        <f t="shared" si="1"/>
        <v>0</v>
      </c>
      <c r="J42" s="51"/>
      <c r="K42" s="112"/>
      <c r="L42" s="53">
        <f t="shared" si="3"/>
        <v>0</v>
      </c>
      <c r="M42" s="112"/>
      <c r="N42" s="53">
        <f t="shared" si="5"/>
        <v>0</v>
      </c>
      <c r="O42" s="53">
        <f t="shared" si="6"/>
        <v>0</v>
      </c>
      <c r="P42" s="1"/>
    </row>
    <row r="43" spans="2:16">
      <c r="B43" t="str">
        <f t="shared" si="0"/>
        <v/>
      </c>
      <c r="C43" s="49">
        <f>IF(D11="","-",+C42+1)</f>
        <v>2046</v>
      </c>
      <c r="D43" s="54">
        <f>IF(F42+SUM(E$17:E42)=D$10,F42,D$10-SUM(E$17:E42))</f>
        <v>592495.71018106188</v>
      </c>
      <c r="E43" s="377">
        <f t="shared" si="15"/>
        <v>124051.80600000001</v>
      </c>
      <c r="F43" s="54">
        <f t="shared" si="16"/>
        <v>468443.90418106189</v>
      </c>
      <c r="G43" s="378">
        <f t="shared" si="17"/>
        <v>184764.03692052857</v>
      </c>
      <c r="H43" s="359">
        <f t="shared" si="18"/>
        <v>184764.03692052857</v>
      </c>
      <c r="I43" s="51">
        <f t="shared" si="1"/>
        <v>0</v>
      </c>
      <c r="J43" s="51"/>
      <c r="K43" s="112"/>
      <c r="L43" s="53">
        <f t="shared" si="3"/>
        <v>0</v>
      </c>
      <c r="M43" s="112"/>
      <c r="N43" s="53">
        <f t="shared" si="5"/>
        <v>0</v>
      </c>
      <c r="O43" s="53">
        <f t="shared" si="6"/>
        <v>0</v>
      </c>
      <c r="P43" s="1"/>
    </row>
    <row r="44" spans="2:16">
      <c r="B44" t="str">
        <f t="shared" si="0"/>
        <v/>
      </c>
      <c r="C44" s="49">
        <f>IF(D11="","-",+C43+1)</f>
        <v>2047</v>
      </c>
      <c r="D44" s="54">
        <f>IF(F43+SUM(E$17:E43)=D$10,F43,D$10-SUM(E$17:E43))</f>
        <v>468443.90418106189</v>
      </c>
      <c r="E44" s="377">
        <f t="shared" si="15"/>
        <v>124051.80600000001</v>
      </c>
      <c r="F44" s="54">
        <f t="shared" si="16"/>
        <v>344392.09818106191</v>
      </c>
      <c r="G44" s="378">
        <f t="shared" si="17"/>
        <v>170566.31672981102</v>
      </c>
      <c r="H44" s="359">
        <f t="shared" si="18"/>
        <v>170566.31672981102</v>
      </c>
      <c r="I44" s="51">
        <f t="shared" si="1"/>
        <v>0</v>
      </c>
      <c r="J44" s="51"/>
      <c r="K44" s="112"/>
      <c r="L44" s="53">
        <f t="shared" si="3"/>
        <v>0</v>
      </c>
      <c r="M44" s="112"/>
      <c r="N44" s="53">
        <f t="shared" si="5"/>
        <v>0</v>
      </c>
      <c r="O44" s="53">
        <f t="shared" si="6"/>
        <v>0</v>
      </c>
      <c r="P44" s="1"/>
    </row>
    <row r="45" spans="2:16">
      <c r="B45" t="str">
        <f t="shared" si="0"/>
        <v/>
      </c>
      <c r="C45" s="49">
        <f>IF(D11="","-",+C44+1)</f>
        <v>2048</v>
      </c>
      <c r="D45" s="54">
        <f>IF(F44+SUM(E$17:E44)=D$10,F44,D$10-SUM(E$17:E44))</f>
        <v>344392.09818106191</v>
      </c>
      <c r="E45" s="377">
        <f t="shared" si="15"/>
        <v>124051.80600000001</v>
      </c>
      <c r="F45" s="54">
        <f t="shared" si="16"/>
        <v>220340.2921810619</v>
      </c>
      <c r="G45" s="378">
        <f t="shared" si="17"/>
        <v>156368.59653909347</v>
      </c>
      <c r="H45" s="359">
        <f t="shared" si="18"/>
        <v>156368.59653909347</v>
      </c>
      <c r="I45" s="51">
        <f t="shared" si="1"/>
        <v>0</v>
      </c>
      <c r="J45" s="51"/>
      <c r="K45" s="112"/>
      <c r="L45" s="53">
        <f t="shared" si="3"/>
        <v>0</v>
      </c>
      <c r="M45" s="112"/>
      <c r="N45" s="53">
        <f t="shared" si="5"/>
        <v>0</v>
      </c>
      <c r="O45" s="53">
        <f t="shared" si="6"/>
        <v>0</v>
      </c>
      <c r="P45" s="1"/>
    </row>
    <row r="46" spans="2:16">
      <c r="B46" t="str">
        <f t="shared" si="0"/>
        <v/>
      </c>
      <c r="C46" s="49">
        <f>IF(D11="","-",+C45+1)</f>
        <v>2049</v>
      </c>
      <c r="D46" s="54">
        <f>IF(F45+SUM(E$17:E45)=D$10,F45,D$10-SUM(E$17:E45))</f>
        <v>220340.2921810619</v>
      </c>
      <c r="E46" s="377">
        <f t="shared" si="15"/>
        <v>124051.80600000001</v>
      </c>
      <c r="F46" s="54">
        <f t="shared" si="16"/>
        <v>96288.48618106189</v>
      </c>
      <c r="G46" s="378">
        <f t="shared" si="17"/>
        <v>142170.8763483759</v>
      </c>
      <c r="H46" s="359">
        <f t="shared" si="18"/>
        <v>142170.8763483759</v>
      </c>
      <c r="I46" s="51">
        <f t="shared" si="1"/>
        <v>0</v>
      </c>
      <c r="J46" s="51"/>
      <c r="K46" s="112"/>
      <c r="L46" s="53">
        <f t="shared" si="3"/>
        <v>0</v>
      </c>
      <c r="M46" s="112"/>
      <c r="N46" s="53">
        <f t="shared" si="5"/>
        <v>0</v>
      </c>
      <c r="O46" s="53">
        <f t="shared" si="6"/>
        <v>0</v>
      </c>
      <c r="P46" s="1"/>
    </row>
    <row r="47" spans="2:16">
      <c r="B47" t="str">
        <f t="shared" si="0"/>
        <v/>
      </c>
      <c r="C47" s="49">
        <f>IF(D11="","-",+C46+1)</f>
        <v>2050</v>
      </c>
      <c r="D47" s="54">
        <f>IF(F46+SUM(E$17:E46)=D$10,F46,D$10-SUM(E$17:E46))</f>
        <v>96288.48618106189</v>
      </c>
      <c r="E47" s="377">
        <f t="shared" si="15"/>
        <v>96288.48618106189</v>
      </c>
      <c r="F47" s="54">
        <f t="shared" si="16"/>
        <v>0</v>
      </c>
      <c r="G47" s="378">
        <f t="shared" si="17"/>
        <v>101798.59130757044</v>
      </c>
      <c r="H47" s="359">
        <f t="shared" si="18"/>
        <v>101798.59130757044</v>
      </c>
      <c r="I47" s="51">
        <f t="shared" si="1"/>
        <v>0</v>
      </c>
      <c r="J47" s="51"/>
      <c r="K47" s="112"/>
      <c r="L47" s="53">
        <f t="shared" si="3"/>
        <v>0</v>
      </c>
      <c r="M47" s="112"/>
      <c r="N47" s="53">
        <f t="shared" si="5"/>
        <v>0</v>
      </c>
      <c r="O47" s="53">
        <f t="shared" si="6"/>
        <v>0</v>
      </c>
      <c r="P47" s="1"/>
    </row>
    <row r="48" spans="2:16">
      <c r="B48" t="str">
        <f t="shared" si="0"/>
        <v/>
      </c>
      <c r="C48" s="49">
        <f>IF(D11="","-",+C47+1)</f>
        <v>2051</v>
      </c>
      <c r="D48" s="54">
        <f>IF(F47+SUM(E$17:E47)=D$10,F47,D$10-SUM(E$17:E47))</f>
        <v>0</v>
      </c>
      <c r="E48" s="377">
        <f t="shared" si="15"/>
        <v>0</v>
      </c>
      <c r="F48" s="54">
        <f t="shared" si="16"/>
        <v>0</v>
      </c>
      <c r="G48" s="378">
        <f t="shared" si="17"/>
        <v>0</v>
      </c>
      <c r="H48" s="359">
        <f t="shared" si="18"/>
        <v>0</v>
      </c>
      <c r="I48" s="51">
        <f t="shared" si="1"/>
        <v>0</v>
      </c>
      <c r="J48" s="51"/>
      <c r="K48" s="112"/>
      <c r="L48" s="53">
        <f t="shared" si="3"/>
        <v>0</v>
      </c>
      <c r="M48" s="112"/>
      <c r="N48" s="53">
        <f t="shared" si="5"/>
        <v>0</v>
      </c>
      <c r="O48" s="53">
        <f t="shared" si="6"/>
        <v>0</v>
      </c>
      <c r="P48" s="1"/>
    </row>
    <row r="49" spans="2:16">
      <c r="B49" t="str">
        <f t="shared" si="0"/>
        <v/>
      </c>
      <c r="C49" s="49">
        <f>IF(D11="","-",+C48+1)</f>
        <v>2052</v>
      </c>
      <c r="D49" s="54">
        <f>IF(F48+SUM(E$17:E48)=D$10,F48,D$10-SUM(E$17:E48))</f>
        <v>0</v>
      </c>
      <c r="E49" s="377">
        <f t="shared" si="15"/>
        <v>0</v>
      </c>
      <c r="F49" s="54">
        <f t="shared" si="16"/>
        <v>0</v>
      </c>
      <c r="G49" s="378">
        <f t="shared" si="17"/>
        <v>0</v>
      </c>
      <c r="H49" s="359">
        <f t="shared" si="18"/>
        <v>0</v>
      </c>
      <c r="I49" s="51">
        <f t="shared" si="1"/>
        <v>0</v>
      </c>
      <c r="J49" s="51"/>
      <c r="K49" s="112"/>
      <c r="L49" s="53">
        <f t="shared" si="3"/>
        <v>0</v>
      </c>
      <c r="M49" s="112"/>
      <c r="N49" s="53">
        <f t="shared" si="5"/>
        <v>0</v>
      </c>
      <c r="O49" s="53">
        <f t="shared" si="6"/>
        <v>0</v>
      </c>
      <c r="P49" s="1"/>
    </row>
    <row r="50" spans="2:16">
      <c r="B50" t="str">
        <f t="shared" si="0"/>
        <v/>
      </c>
      <c r="C50" s="49">
        <f>IF(D11="","-",+C49+1)</f>
        <v>2053</v>
      </c>
      <c r="D50" s="54">
        <f>IF(F49+SUM(E$17:E49)=D$10,F49,D$10-SUM(E$17:E49))</f>
        <v>0</v>
      </c>
      <c r="E50" s="377">
        <f t="shared" si="15"/>
        <v>0</v>
      </c>
      <c r="F50" s="54">
        <f t="shared" si="16"/>
        <v>0</v>
      </c>
      <c r="G50" s="378">
        <f t="shared" si="17"/>
        <v>0</v>
      </c>
      <c r="H50" s="359">
        <f t="shared" si="18"/>
        <v>0</v>
      </c>
      <c r="I50" s="51">
        <f t="shared" si="1"/>
        <v>0</v>
      </c>
      <c r="J50" s="51"/>
      <c r="K50" s="112"/>
      <c r="L50" s="53">
        <f t="shared" si="3"/>
        <v>0</v>
      </c>
      <c r="M50" s="112"/>
      <c r="N50" s="53">
        <f t="shared" si="5"/>
        <v>0</v>
      </c>
      <c r="O50" s="53">
        <f t="shared" si="6"/>
        <v>0</v>
      </c>
      <c r="P50" s="1"/>
    </row>
    <row r="51" spans="2:16">
      <c r="B51" t="str">
        <f t="shared" si="0"/>
        <v/>
      </c>
      <c r="C51" s="49">
        <f>IF(D11="","-",+C50+1)</f>
        <v>2054</v>
      </c>
      <c r="D51" s="54">
        <f>IF(F50+SUM(E$17:E50)=D$10,F50,D$10-SUM(E$17:E50))</f>
        <v>0</v>
      </c>
      <c r="E51" s="377">
        <f t="shared" si="15"/>
        <v>0</v>
      </c>
      <c r="F51" s="54">
        <f t="shared" si="16"/>
        <v>0</v>
      </c>
      <c r="G51" s="378">
        <f t="shared" si="17"/>
        <v>0</v>
      </c>
      <c r="H51" s="359">
        <f t="shared" si="18"/>
        <v>0</v>
      </c>
      <c r="I51" s="51">
        <f t="shared" si="1"/>
        <v>0</v>
      </c>
      <c r="J51" s="51"/>
      <c r="K51" s="112"/>
      <c r="L51" s="53">
        <f t="shared" si="3"/>
        <v>0</v>
      </c>
      <c r="M51" s="112"/>
      <c r="N51" s="53">
        <f t="shared" si="5"/>
        <v>0</v>
      </c>
      <c r="O51" s="53">
        <f t="shared" si="6"/>
        <v>0</v>
      </c>
      <c r="P51" s="1"/>
    </row>
    <row r="52" spans="2:16">
      <c r="B52" t="str">
        <f t="shared" si="0"/>
        <v/>
      </c>
      <c r="C52" s="49">
        <f>IF(D11="","-",+C51+1)</f>
        <v>2055</v>
      </c>
      <c r="D52" s="54">
        <f>IF(F51+SUM(E$17:E51)=D$10,F51,D$10-SUM(E$17:E51))</f>
        <v>0</v>
      </c>
      <c r="E52" s="377">
        <f t="shared" si="15"/>
        <v>0</v>
      </c>
      <c r="F52" s="54">
        <f t="shared" si="16"/>
        <v>0</v>
      </c>
      <c r="G52" s="378">
        <f t="shared" si="17"/>
        <v>0</v>
      </c>
      <c r="H52" s="359">
        <f t="shared" si="18"/>
        <v>0</v>
      </c>
      <c r="I52" s="51">
        <f t="shared" si="1"/>
        <v>0</v>
      </c>
      <c r="J52" s="51"/>
      <c r="K52" s="112"/>
      <c r="L52" s="53">
        <f t="shared" si="3"/>
        <v>0</v>
      </c>
      <c r="M52" s="112"/>
      <c r="N52" s="53">
        <f t="shared" si="5"/>
        <v>0</v>
      </c>
      <c r="O52" s="53">
        <f t="shared" si="6"/>
        <v>0</v>
      </c>
      <c r="P52" s="1"/>
    </row>
    <row r="53" spans="2:16">
      <c r="B53" t="str">
        <f t="shared" si="0"/>
        <v/>
      </c>
      <c r="C53" s="49">
        <f>IF(D11="","-",+C52+1)</f>
        <v>2056</v>
      </c>
      <c r="D53" s="54">
        <f>IF(F52+SUM(E$17:E52)=D$10,F52,D$10-SUM(E$17:E52))</f>
        <v>0</v>
      </c>
      <c r="E53" s="377">
        <f t="shared" si="15"/>
        <v>0</v>
      </c>
      <c r="F53" s="54">
        <f t="shared" si="16"/>
        <v>0</v>
      </c>
      <c r="G53" s="378">
        <f t="shared" si="17"/>
        <v>0</v>
      </c>
      <c r="H53" s="359">
        <f t="shared" si="18"/>
        <v>0</v>
      </c>
      <c r="I53" s="51">
        <f t="shared" si="1"/>
        <v>0</v>
      </c>
      <c r="J53" s="51"/>
      <c r="K53" s="112"/>
      <c r="L53" s="53">
        <f t="shared" si="3"/>
        <v>0</v>
      </c>
      <c r="M53" s="112"/>
      <c r="N53" s="53">
        <f t="shared" si="5"/>
        <v>0</v>
      </c>
      <c r="O53" s="53">
        <f t="shared" si="6"/>
        <v>0</v>
      </c>
      <c r="P53" s="1"/>
    </row>
    <row r="54" spans="2:16">
      <c r="B54" t="str">
        <f t="shared" si="0"/>
        <v/>
      </c>
      <c r="C54" s="49">
        <f>IF(D11="","-",+C53+1)</f>
        <v>2057</v>
      </c>
      <c r="D54" s="54">
        <f>IF(F53+SUM(E$17:E53)=D$10,F53,D$10-SUM(E$17:E53))</f>
        <v>0</v>
      </c>
      <c r="E54" s="377">
        <f t="shared" si="15"/>
        <v>0</v>
      </c>
      <c r="F54" s="54">
        <f t="shared" si="16"/>
        <v>0</v>
      </c>
      <c r="G54" s="378">
        <f t="shared" si="17"/>
        <v>0</v>
      </c>
      <c r="H54" s="359">
        <f t="shared" si="18"/>
        <v>0</v>
      </c>
      <c r="I54" s="51">
        <f t="shared" si="1"/>
        <v>0</v>
      </c>
      <c r="J54" s="51"/>
      <c r="K54" s="112"/>
      <c r="L54" s="53">
        <f t="shared" si="3"/>
        <v>0</v>
      </c>
      <c r="M54" s="112"/>
      <c r="N54" s="53">
        <f t="shared" si="5"/>
        <v>0</v>
      </c>
      <c r="O54" s="53">
        <f t="shared" si="6"/>
        <v>0</v>
      </c>
      <c r="P54" s="1"/>
    </row>
    <row r="55" spans="2:16">
      <c r="B55" t="str">
        <f t="shared" si="0"/>
        <v/>
      </c>
      <c r="C55" s="49">
        <f>IF(D11="","-",+C54+1)</f>
        <v>2058</v>
      </c>
      <c r="D55" s="54">
        <f>IF(F54+SUM(E$17:E54)=D$10,F54,D$10-SUM(E$17:E54))</f>
        <v>0</v>
      </c>
      <c r="E55" s="377">
        <f t="shared" si="15"/>
        <v>0</v>
      </c>
      <c r="F55" s="54">
        <f t="shared" si="16"/>
        <v>0</v>
      </c>
      <c r="G55" s="378">
        <f t="shared" si="17"/>
        <v>0</v>
      </c>
      <c r="H55" s="359">
        <f t="shared" si="18"/>
        <v>0</v>
      </c>
      <c r="I55" s="51">
        <f t="shared" si="1"/>
        <v>0</v>
      </c>
      <c r="J55" s="51"/>
      <c r="K55" s="112"/>
      <c r="L55" s="53">
        <f t="shared" si="3"/>
        <v>0</v>
      </c>
      <c r="M55" s="112"/>
      <c r="N55" s="53">
        <f t="shared" si="5"/>
        <v>0</v>
      </c>
      <c r="O55" s="53">
        <f t="shared" si="6"/>
        <v>0</v>
      </c>
      <c r="P55" s="1"/>
    </row>
    <row r="56" spans="2:16">
      <c r="B56" t="str">
        <f t="shared" si="0"/>
        <v/>
      </c>
      <c r="C56" s="49">
        <f>IF(D11="","-",+C55+1)</f>
        <v>2059</v>
      </c>
      <c r="D56" s="54">
        <f>IF(F55+SUM(E$17:E55)=D$10,F55,D$10-SUM(E$17:E55))</f>
        <v>0</v>
      </c>
      <c r="E56" s="377">
        <f t="shared" si="15"/>
        <v>0</v>
      </c>
      <c r="F56" s="54">
        <f t="shared" si="16"/>
        <v>0</v>
      </c>
      <c r="G56" s="378">
        <f t="shared" si="17"/>
        <v>0</v>
      </c>
      <c r="H56" s="359">
        <f t="shared" si="18"/>
        <v>0</v>
      </c>
      <c r="I56" s="51">
        <f t="shared" si="1"/>
        <v>0</v>
      </c>
      <c r="J56" s="51"/>
      <c r="K56" s="112"/>
      <c r="L56" s="53">
        <f t="shared" si="3"/>
        <v>0</v>
      </c>
      <c r="M56" s="112"/>
      <c r="N56" s="53">
        <f t="shared" si="5"/>
        <v>0</v>
      </c>
      <c r="O56" s="53">
        <f t="shared" si="6"/>
        <v>0</v>
      </c>
      <c r="P56" s="1"/>
    </row>
    <row r="57" spans="2:16">
      <c r="B57" t="str">
        <f t="shared" si="0"/>
        <v/>
      </c>
      <c r="C57" s="49">
        <f>IF(D11="","-",+C56+1)</f>
        <v>2060</v>
      </c>
      <c r="D57" s="54">
        <f>IF(F56+SUM(E$17:E56)=D$10,F56,D$10-SUM(E$17:E56))</f>
        <v>0</v>
      </c>
      <c r="E57" s="377">
        <f t="shared" si="15"/>
        <v>0</v>
      </c>
      <c r="F57" s="54">
        <f t="shared" si="16"/>
        <v>0</v>
      </c>
      <c r="G57" s="378">
        <f t="shared" si="17"/>
        <v>0</v>
      </c>
      <c r="H57" s="359">
        <f t="shared" si="18"/>
        <v>0</v>
      </c>
      <c r="I57" s="51">
        <f t="shared" si="1"/>
        <v>0</v>
      </c>
      <c r="J57" s="51"/>
      <c r="K57" s="112"/>
      <c r="L57" s="53">
        <f t="shared" si="3"/>
        <v>0</v>
      </c>
      <c r="M57" s="112"/>
      <c r="N57" s="53">
        <f t="shared" si="5"/>
        <v>0</v>
      </c>
      <c r="O57" s="53">
        <f t="shared" si="6"/>
        <v>0</v>
      </c>
      <c r="P57" s="1"/>
    </row>
    <row r="58" spans="2:16">
      <c r="B58" t="str">
        <f t="shared" si="0"/>
        <v/>
      </c>
      <c r="C58" s="49">
        <f>IF(D11="","-",+C57+1)</f>
        <v>2061</v>
      </c>
      <c r="D58" s="54">
        <f>IF(F57+SUM(E$17:E57)=D$10,F57,D$10-SUM(E$17:E57))</f>
        <v>0</v>
      </c>
      <c r="E58" s="377">
        <f t="shared" si="15"/>
        <v>0</v>
      </c>
      <c r="F58" s="54">
        <f t="shared" si="16"/>
        <v>0</v>
      </c>
      <c r="G58" s="378">
        <f t="shared" si="17"/>
        <v>0</v>
      </c>
      <c r="H58" s="359">
        <f t="shared" si="18"/>
        <v>0</v>
      </c>
      <c r="I58" s="51">
        <f t="shared" si="1"/>
        <v>0</v>
      </c>
      <c r="J58" s="51"/>
      <c r="K58" s="112"/>
      <c r="L58" s="53">
        <f t="shared" si="3"/>
        <v>0</v>
      </c>
      <c r="M58" s="112"/>
      <c r="N58" s="53">
        <f t="shared" si="5"/>
        <v>0</v>
      </c>
      <c r="O58" s="53">
        <f t="shared" si="6"/>
        <v>0</v>
      </c>
      <c r="P58" s="1"/>
    </row>
    <row r="59" spans="2:16">
      <c r="B59" t="str">
        <f t="shared" si="0"/>
        <v/>
      </c>
      <c r="C59" s="49">
        <f>IF(D11="","-",+C58+1)</f>
        <v>2062</v>
      </c>
      <c r="D59" s="54">
        <f>IF(F58+SUM(E$17:E58)=D$10,F58,D$10-SUM(E$17:E58))</f>
        <v>0</v>
      </c>
      <c r="E59" s="377">
        <f t="shared" si="15"/>
        <v>0</v>
      </c>
      <c r="F59" s="54">
        <f t="shared" si="16"/>
        <v>0</v>
      </c>
      <c r="G59" s="378">
        <f t="shared" si="17"/>
        <v>0</v>
      </c>
      <c r="H59" s="359">
        <f t="shared" si="18"/>
        <v>0</v>
      </c>
      <c r="I59" s="51">
        <f t="shared" si="1"/>
        <v>0</v>
      </c>
      <c r="J59" s="51"/>
      <c r="K59" s="112"/>
      <c r="L59" s="53">
        <f t="shared" si="3"/>
        <v>0</v>
      </c>
      <c r="M59" s="112"/>
      <c r="N59" s="53">
        <f t="shared" si="5"/>
        <v>0</v>
      </c>
      <c r="O59" s="53">
        <f t="shared" si="6"/>
        <v>0</v>
      </c>
      <c r="P59" s="1"/>
    </row>
    <row r="60" spans="2:16">
      <c r="B60" t="str">
        <f t="shared" si="0"/>
        <v/>
      </c>
      <c r="C60" s="49">
        <f>IF(D11="","-",+C59+1)</f>
        <v>2063</v>
      </c>
      <c r="D60" s="54">
        <f>IF(F59+SUM(E$17:E59)=D$10,F59,D$10-SUM(E$17:E59))</f>
        <v>0</v>
      </c>
      <c r="E60" s="377">
        <f t="shared" si="15"/>
        <v>0</v>
      </c>
      <c r="F60" s="54">
        <f t="shared" si="16"/>
        <v>0</v>
      </c>
      <c r="G60" s="378">
        <f t="shared" si="17"/>
        <v>0</v>
      </c>
      <c r="H60" s="359">
        <f t="shared" si="18"/>
        <v>0</v>
      </c>
      <c r="I60" s="51">
        <f t="shared" si="1"/>
        <v>0</v>
      </c>
      <c r="J60" s="51"/>
      <c r="K60" s="112"/>
      <c r="L60" s="53">
        <f t="shared" si="3"/>
        <v>0</v>
      </c>
      <c r="M60" s="112"/>
      <c r="N60" s="53">
        <f t="shared" si="5"/>
        <v>0</v>
      </c>
      <c r="O60" s="53">
        <f t="shared" si="6"/>
        <v>0</v>
      </c>
      <c r="P60" s="1"/>
    </row>
    <row r="61" spans="2:16">
      <c r="B61" t="str">
        <f t="shared" si="0"/>
        <v/>
      </c>
      <c r="C61" s="49">
        <f>IF(D11="","-",+C60+1)</f>
        <v>2064</v>
      </c>
      <c r="D61" s="54">
        <f>IF(F60+SUM(E$17:E60)=D$10,F60,D$10-SUM(E$17:E60))</f>
        <v>0</v>
      </c>
      <c r="E61" s="377">
        <f t="shared" si="15"/>
        <v>0</v>
      </c>
      <c r="F61" s="54">
        <f t="shared" si="16"/>
        <v>0</v>
      </c>
      <c r="G61" s="388">
        <f t="shared" si="17"/>
        <v>0</v>
      </c>
      <c r="H61" s="359">
        <f t="shared" si="18"/>
        <v>0</v>
      </c>
      <c r="I61" s="51">
        <f t="shared" si="1"/>
        <v>0</v>
      </c>
      <c r="J61" s="51"/>
      <c r="K61" s="112"/>
      <c r="L61" s="53">
        <f t="shared" si="3"/>
        <v>0</v>
      </c>
      <c r="M61" s="112"/>
      <c r="N61" s="53">
        <f t="shared" si="5"/>
        <v>0</v>
      </c>
      <c r="O61" s="53">
        <f t="shared" si="6"/>
        <v>0</v>
      </c>
      <c r="P61" s="1"/>
    </row>
    <row r="62" spans="2:16">
      <c r="B62" t="str">
        <f t="shared" si="0"/>
        <v/>
      </c>
      <c r="C62" s="49">
        <f>IF(D11="","-",+C61+1)</f>
        <v>2065</v>
      </c>
      <c r="D62" s="54">
        <f>IF(F61+SUM(E$17:E61)=D$10,F61,D$10-SUM(E$17:E61))</f>
        <v>0</v>
      </c>
      <c r="E62" s="377">
        <f t="shared" si="15"/>
        <v>0</v>
      </c>
      <c r="F62" s="54">
        <f t="shared" si="16"/>
        <v>0</v>
      </c>
      <c r="G62" s="388">
        <f t="shared" si="17"/>
        <v>0</v>
      </c>
      <c r="H62" s="359">
        <f t="shared" si="18"/>
        <v>0</v>
      </c>
      <c r="I62" s="51">
        <f t="shared" si="1"/>
        <v>0</v>
      </c>
      <c r="J62" s="51"/>
      <c r="K62" s="112"/>
      <c r="L62" s="53">
        <f t="shared" si="3"/>
        <v>0</v>
      </c>
      <c r="M62" s="112"/>
      <c r="N62" s="53">
        <f t="shared" si="5"/>
        <v>0</v>
      </c>
      <c r="O62" s="53">
        <f t="shared" si="6"/>
        <v>0</v>
      </c>
      <c r="P62" s="1"/>
    </row>
    <row r="63" spans="2:16">
      <c r="B63" t="str">
        <f t="shared" si="0"/>
        <v/>
      </c>
      <c r="C63" s="49">
        <f>IF(D11="","-",+C62+1)</f>
        <v>2066</v>
      </c>
      <c r="D63" s="54">
        <f>IF(F62+SUM(E$17:E62)=D$10,F62,D$10-SUM(E$17:E62))</f>
        <v>0</v>
      </c>
      <c r="E63" s="377">
        <f t="shared" si="15"/>
        <v>0</v>
      </c>
      <c r="F63" s="54">
        <f t="shared" si="16"/>
        <v>0</v>
      </c>
      <c r="G63" s="388">
        <f t="shared" si="17"/>
        <v>0</v>
      </c>
      <c r="H63" s="359">
        <f t="shared" si="18"/>
        <v>0</v>
      </c>
      <c r="I63" s="51">
        <f t="shared" si="1"/>
        <v>0</v>
      </c>
      <c r="J63" s="51"/>
      <c r="K63" s="112"/>
      <c r="L63" s="53">
        <f t="shared" si="3"/>
        <v>0</v>
      </c>
      <c r="M63" s="112"/>
      <c r="N63" s="53">
        <f t="shared" si="5"/>
        <v>0</v>
      </c>
      <c r="O63" s="53">
        <f t="shared" si="6"/>
        <v>0</v>
      </c>
      <c r="P63" s="1"/>
    </row>
    <row r="64" spans="2:16">
      <c r="B64" t="str">
        <f t="shared" si="0"/>
        <v/>
      </c>
      <c r="C64" s="49">
        <f>IF(D11="","-",+C63+1)</f>
        <v>2067</v>
      </c>
      <c r="D64" s="54">
        <f>IF(F63+SUM(E$17:E63)=D$10,F63,D$10-SUM(E$17:E63))</f>
        <v>0</v>
      </c>
      <c r="E64" s="377">
        <f t="shared" si="15"/>
        <v>0</v>
      </c>
      <c r="F64" s="54">
        <f t="shared" si="16"/>
        <v>0</v>
      </c>
      <c r="G64" s="388">
        <f t="shared" si="17"/>
        <v>0</v>
      </c>
      <c r="H64" s="359">
        <f t="shared" si="18"/>
        <v>0</v>
      </c>
      <c r="I64" s="51">
        <f t="shared" si="1"/>
        <v>0</v>
      </c>
      <c r="J64" s="51"/>
      <c r="K64" s="112"/>
      <c r="L64" s="53">
        <f t="shared" si="3"/>
        <v>0</v>
      </c>
      <c r="M64" s="112"/>
      <c r="N64" s="53">
        <f t="shared" si="5"/>
        <v>0</v>
      </c>
      <c r="O64" s="53">
        <f t="shared" si="6"/>
        <v>0</v>
      </c>
      <c r="P64" s="1"/>
    </row>
    <row r="65" spans="2:16">
      <c r="B65" t="str">
        <f t="shared" si="0"/>
        <v/>
      </c>
      <c r="C65" s="49">
        <f>IF(D11="","-",+C64+1)</f>
        <v>2068</v>
      </c>
      <c r="D65" s="54">
        <f>IF(F64+SUM(E$17:E64)=D$10,F64,D$10-SUM(E$17:E64))</f>
        <v>0</v>
      </c>
      <c r="E65" s="377">
        <f t="shared" si="15"/>
        <v>0</v>
      </c>
      <c r="F65" s="54">
        <f t="shared" si="16"/>
        <v>0</v>
      </c>
      <c r="G65" s="388">
        <f t="shared" si="17"/>
        <v>0</v>
      </c>
      <c r="H65" s="359">
        <f t="shared" si="18"/>
        <v>0</v>
      </c>
      <c r="I65" s="51">
        <f t="shared" si="1"/>
        <v>0</v>
      </c>
      <c r="J65" s="51"/>
      <c r="K65" s="112"/>
      <c r="L65" s="53">
        <f t="shared" si="3"/>
        <v>0</v>
      </c>
      <c r="M65" s="112"/>
      <c r="N65" s="53">
        <f t="shared" si="5"/>
        <v>0</v>
      </c>
      <c r="O65" s="53">
        <f t="shared" si="6"/>
        <v>0</v>
      </c>
      <c r="P65" s="1"/>
    </row>
    <row r="66" spans="2:16">
      <c r="B66" t="str">
        <f t="shared" si="0"/>
        <v/>
      </c>
      <c r="C66" s="49">
        <f>IF(D11="","-",+C65+1)</f>
        <v>2069</v>
      </c>
      <c r="D66" s="54">
        <f>IF(F65+SUM(E$17:E65)=D$10,F65,D$10-SUM(E$17:E65))</f>
        <v>0</v>
      </c>
      <c r="E66" s="377">
        <f t="shared" si="15"/>
        <v>0</v>
      </c>
      <c r="F66" s="54">
        <f t="shared" si="16"/>
        <v>0</v>
      </c>
      <c r="G66" s="388">
        <f t="shared" si="17"/>
        <v>0</v>
      </c>
      <c r="H66" s="359">
        <f t="shared" si="18"/>
        <v>0</v>
      </c>
      <c r="I66" s="51">
        <f t="shared" si="1"/>
        <v>0</v>
      </c>
      <c r="J66" s="51"/>
      <c r="K66" s="112"/>
      <c r="L66" s="53">
        <f t="shared" si="3"/>
        <v>0</v>
      </c>
      <c r="M66" s="112"/>
      <c r="N66" s="53">
        <f t="shared" si="5"/>
        <v>0</v>
      </c>
      <c r="O66" s="53">
        <f t="shared" si="6"/>
        <v>0</v>
      </c>
      <c r="P66" s="1"/>
    </row>
    <row r="67" spans="2:16">
      <c r="B67" t="str">
        <f t="shared" si="0"/>
        <v/>
      </c>
      <c r="C67" s="49">
        <f>IF(D11="","-",+C66+1)</f>
        <v>2070</v>
      </c>
      <c r="D67" s="54">
        <f>IF(F66+SUM(E$17:E66)=D$10,F66,D$10-SUM(E$17:E66))</f>
        <v>0</v>
      </c>
      <c r="E67" s="377">
        <f t="shared" si="15"/>
        <v>0</v>
      </c>
      <c r="F67" s="54">
        <f t="shared" si="16"/>
        <v>0</v>
      </c>
      <c r="G67" s="388">
        <f t="shared" si="17"/>
        <v>0</v>
      </c>
      <c r="H67" s="359">
        <f t="shared" si="18"/>
        <v>0</v>
      </c>
      <c r="I67" s="51">
        <f t="shared" si="1"/>
        <v>0</v>
      </c>
      <c r="J67" s="51"/>
      <c r="K67" s="112"/>
      <c r="L67" s="53">
        <f t="shared" si="3"/>
        <v>0</v>
      </c>
      <c r="M67" s="112"/>
      <c r="N67" s="53">
        <f t="shared" si="5"/>
        <v>0</v>
      </c>
      <c r="O67" s="53">
        <f t="shared" si="6"/>
        <v>0</v>
      </c>
      <c r="P67" s="1"/>
    </row>
    <row r="68" spans="2:16">
      <c r="B68" t="str">
        <f t="shared" si="0"/>
        <v/>
      </c>
      <c r="C68" s="49">
        <f>IF(D11="","-",+C67+1)</f>
        <v>2071</v>
      </c>
      <c r="D68" s="54">
        <f>IF(F67+SUM(E$17:E67)=D$10,F67,D$10-SUM(E$17:E67))</f>
        <v>0</v>
      </c>
      <c r="E68" s="377">
        <f t="shared" si="15"/>
        <v>0</v>
      </c>
      <c r="F68" s="54">
        <f t="shared" si="16"/>
        <v>0</v>
      </c>
      <c r="G68" s="388">
        <f t="shared" si="17"/>
        <v>0</v>
      </c>
      <c r="H68" s="359">
        <f t="shared" si="18"/>
        <v>0</v>
      </c>
      <c r="I68" s="51">
        <f t="shared" si="1"/>
        <v>0</v>
      </c>
      <c r="J68" s="51"/>
      <c r="K68" s="112"/>
      <c r="L68" s="53">
        <f t="shared" si="3"/>
        <v>0</v>
      </c>
      <c r="M68" s="112"/>
      <c r="N68" s="53">
        <f t="shared" si="5"/>
        <v>0</v>
      </c>
      <c r="O68" s="53">
        <f t="shared" si="6"/>
        <v>0</v>
      </c>
      <c r="P68" s="1"/>
    </row>
    <row r="69" spans="2:16">
      <c r="B69" t="str">
        <f t="shared" si="0"/>
        <v/>
      </c>
      <c r="C69" s="49">
        <f>IF(D11="","-",+C68+1)</f>
        <v>2072</v>
      </c>
      <c r="D69" s="54">
        <f>IF(F68+SUM(E$17:E68)=D$10,F68,D$10-SUM(E$17:E68))</f>
        <v>0</v>
      </c>
      <c r="E69" s="377">
        <f t="shared" si="15"/>
        <v>0</v>
      </c>
      <c r="F69" s="54">
        <f t="shared" si="16"/>
        <v>0</v>
      </c>
      <c r="G69" s="388">
        <f t="shared" si="17"/>
        <v>0</v>
      </c>
      <c r="H69" s="359">
        <f t="shared" si="18"/>
        <v>0</v>
      </c>
      <c r="I69" s="51">
        <f t="shared" si="1"/>
        <v>0</v>
      </c>
      <c r="J69" s="51"/>
      <c r="K69" s="112"/>
      <c r="L69" s="53">
        <f t="shared" si="3"/>
        <v>0</v>
      </c>
      <c r="M69" s="112"/>
      <c r="N69" s="53">
        <f t="shared" si="5"/>
        <v>0</v>
      </c>
      <c r="O69" s="53">
        <f t="shared" si="6"/>
        <v>0</v>
      </c>
      <c r="P69" s="1"/>
    </row>
    <row r="70" spans="2:16">
      <c r="B70" t="str">
        <f t="shared" si="0"/>
        <v/>
      </c>
      <c r="C70" s="49">
        <f>IF(D11="","-",+C69+1)</f>
        <v>2073</v>
      </c>
      <c r="D70" s="54">
        <f>IF(F69+SUM(E$17:E69)=D$10,F69,D$10-SUM(E$17:E69))</f>
        <v>0</v>
      </c>
      <c r="E70" s="377">
        <f t="shared" si="15"/>
        <v>0</v>
      </c>
      <c r="F70" s="54">
        <f t="shared" si="16"/>
        <v>0</v>
      </c>
      <c r="G70" s="388">
        <f t="shared" si="17"/>
        <v>0</v>
      </c>
      <c r="H70" s="359">
        <f t="shared" si="18"/>
        <v>0</v>
      </c>
      <c r="I70" s="51">
        <f t="shared" si="1"/>
        <v>0</v>
      </c>
      <c r="J70" s="51"/>
      <c r="K70" s="112"/>
      <c r="L70" s="53">
        <f t="shared" si="3"/>
        <v>0</v>
      </c>
      <c r="M70" s="112"/>
      <c r="N70" s="53">
        <f t="shared" si="5"/>
        <v>0</v>
      </c>
      <c r="O70" s="53">
        <f t="shared" si="6"/>
        <v>0</v>
      </c>
      <c r="P70" s="1"/>
    </row>
    <row r="71" spans="2:16">
      <c r="B71" t="str">
        <f t="shared" si="0"/>
        <v/>
      </c>
      <c r="C71" s="49">
        <f>IF(D11="","-",+C70+1)</f>
        <v>2074</v>
      </c>
      <c r="D71" s="54">
        <f>IF(F70+SUM(E$17:E70)=D$10,F70,D$10-SUM(E$17:E70))</f>
        <v>0</v>
      </c>
      <c r="E71" s="377">
        <f t="shared" si="15"/>
        <v>0</v>
      </c>
      <c r="F71" s="54">
        <f t="shared" si="16"/>
        <v>0</v>
      </c>
      <c r="G71" s="388">
        <f t="shared" si="17"/>
        <v>0</v>
      </c>
      <c r="H71" s="359">
        <f t="shared" si="18"/>
        <v>0</v>
      </c>
      <c r="I71" s="51">
        <f t="shared" si="1"/>
        <v>0</v>
      </c>
      <c r="J71" s="51"/>
      <c r="K71" s="112"/>
      <c r="L71" s="53">
        <f t="shared" si="3"/>
        <v>0</v>
      </c>
      <c r="M71" s="112"/>
      <c r="N71" s="53">
        <f t="shared" si="5"/>
        <v>0</v>
      </c>
      <c r="O71" s="53">
        <f t="shared" si="6"/>
        <v>0</v>
      </c>
      <c r="P71" s="1"/>
    </row>
    <row r="72" spans="2:16">
      <c r="C72" s="49">
        <f>IF(D12="","-",+C71+1)</f>
        <v>2075</v>
      </c>
      <c r="D72" s="54">
        <f>IF(F71+SUM(E$17:E71)=D$10,F71,D$10-SUM(E$17:E71))</f>
        <v>0</v>
      </c>
      <c r="E72" s="377">
        <f>IF(+I$14&lt;F71,I$14,D72)</f>
        <v>0</v>
      </c>
      <c r="F72" s="54">
        <f>+D72-E72</f>
        <v>0</v>
      </c>
      <c r="G72" s="388">
        <f>(D72+F72)/2*I$12+E72</f>
        <v>0</v>
      </c>
      <c r="H72" s="359">
        <f>+(D72+F72)/2*I$13+E72</f>
        <v>0</v>
      </c>
      <c r="I72" s="51">
        <f>H72-G72</f>
        <v>0</v>
      </c>
      <c r="J72" s="51"/>
      <c r="K72" s="112"/>
      <c r="L72" s="53">
        <f>IF(K72&lt;&gt;0,+G72-K72,0)</f>
        <v>0</v>
      </c>
      <c r="M72" s="112"/>
      <c r="N72" s="53">
        <f>IF(M72&lt;&gt;0,+H72-M72,0)</f>
        <v>0</v>
      </c>
      <c r="O72" s="53">
        <f>+N72-L72</f>
        <v>0</v>
      </c>
      <c r="P72" s="1"/>
    </row>
    <row r="73" spans="2:16" ht="13.5" thickBot="1">
      <c r="B73" t="str">
        <f>IF(D73=F71,"","IU")</f>
        <v/>
      </c>
      <c r="C73" s="58">
        <f>IF(D13="","-",+C72+1)</f>
        <v>2076</v>
      </c>
      <c r="D73" s="389">
        <f>IF(F72+SUM(E$17:E72)=D$10,F72,D$10-SUM(E$17:E72))</f>
        <v>0</v>
      </c>
      <c r="E73" s="389">
        <f>IF(+I$14&lt;F72,I$14,D73)</f>
        <v>0</v>
      </c>
      <c r="F73" s="59">
        <f>+D73-E73</f>
        <v>0</v>
      </c>
      <c r="G73" s="390">
        <f>(D73+F73)/2*I$12+E73</f>
        <v>0</v>
      </c>
      <c r="H73" s="357">
        <f>+(D73+F73)/2*I$13+E73</f>
        <v>0</v>
      </c>
      <c r="I73" s="62">
        <f>H73-G73</f>
        <v>0</v>
      </c>
      <c r="J73" s="51"/>
      <c r="K73" s="113"/>
      <c r="L73" s="63">
        <f>IF(K73&lt;&gt;0,+G73-K73,0)</f>
        <v>0</v>
      </c>
      <c r="M73" s="113"/>
      <c r="N73" s="63">
        <f>IF(M73&lt;&gt;0,+H73-M73,0)</f>
        <v>0</v>
      </c>
      <c r="O73" s="63">
        <f>+N73-L73</f>
        <v>0</v>
      </c>
      <c r="P73" s="1"/>
    </row>
    <row r="74" spans="2:16">
      <c r="C74" s="11" t="s">
        <v>75</v>
      </c>
      <c r="D74" s="242"/>
      <c r="E74" s="242">
        <f>SUM(E17:E73)</f>
        <v>3721554.1799999992</v>
      </c>
      <c r="F74" s="242"/>
      <c r="G74" s="242">
        <f>SUM(G17:G73)</f>
        <v>10160656.444392696</v>
      </c>
      <c r="H74" s="242">
        <f>SUM(H17:H73)</f>
        <v>10160656.444392696</v>
      </c>
      <c r="I74" s="242">
        <f>SUM(I17:I73)</f>
        <v>0</v>
      </c>
      <c r="J74" s="242"/>
      <c r="K74" s="242"/>
      <c r="L74" s="242"/>
      <c r="M74" s="242"/>
      <c r="N74" s="242"/>
      <c r="O74" s="1"/>
      <c r="P74" s="1"/>
    </row>
    <row r="75" spans="2:16">
      <c r="D75" s="2"/>
      <c r="E75" s="1"/>
      <c r="F75" s="1"/>
      <c r="G75" s="1"/>
      <c r="H75" s="260"/>
      <c r="I75" s="260"/>
      <c r="J75" s="242"/>
      <c r="K75" s="260"/>
      <c r="L75" s="260"/>
      <c r="M75" s="260"/>
      <c r="N75" s="260"/>
      <c r="O75" s="1"/>
      <c r="P75" s="1"/>
    </row>
    <row r="76" spans="2:16">
      <c r="C76" s="29" t="s">
        <v>95</v>
      </c>
      <c r="D76" s="2"/>
      <c r="E76" s="1"/>
      <c r="F76" s="1"/>
      <c r="G76" s="1"/>
      <c r="H76" s="260"/>
      <c r="I76" s="260"/>
      <c r="J76" s="242"/>
      <c r="K76" s="260"/>
      <c r="L76" s="260"/>
      <c r="M76" s="260"/>
      <c r="N76" s="260"/>
      <c r="O76" s="1"/>
      <c r="P76" s="1"/>
    </row>
    <row r="77" spans="2:16">
      <c r="C77" s="25" t="s">
        <v>76</v>
      </c>
      <c r="D77" s="2"/>
      <c r="E77" s="1"/>
      <c r="F77" s="1"/>
      <c r="G77" s="1"/>
      <c r="H77" s="260"/>
      <c r="I77" s="260"/>
      <c r="J77" s="242"/>
      <c r="K77" s="260"/>
      <c r="L77" s="260"/>
      <c r="M77" s="260"/>
      <c r="N77" s="260"/>
      <c r="O77" s="1"/>
      <c r="P77" s="1"/>
    </row>
    <row r="78" spans="2:16">
      <c r="C78" s="25" t="s">
        <v>77</v>
      </c>
      <c r="D78" s="11"/>
      <c r="E78" s="11"/>
      <c r="F78" s="11"/>
      <c r="G78" s="242"/>
      <c r="H78" s="242"/>
      <c r="I78" s="64"/>
      <c r="J78" s="64"/>
      <c r="K78" s="64"/>
      <c r="L78" s="64"/>
      <c r="M78" s="64"/>
      <c r="N78" s="64"/>
      <c r="O78" s="1"/>
      <c r="P78" s="1"/>
    </row>
    <row r="79" spans="2:16">
      <c r="C79" s="25"/>
      <c r="D79" s="11"/>
      <c r="E79" s="11"/>
      <c r="F79" s="11"/>
      <c r="G79" s="242"/>
      <c r="H79" s="242"/>
      <c r="I79" s="64"/>
      <c r="J79" s="64"/>
      <c r="K79" s="64"/>
      <c r="L79" s="64"/>
      <c r="M79" s="64"/>
      <c r="N79" s="64"/>
      <c r="O79" s="1"/>
      <c r="P79" s="1"/>
    </row>
    <row r="80" spans="2:16">
      <c r="B80" s="1"/>
      <c r="C80" s="1"/>
      <c r="D80" s="2"/>
      <c r="E80" s="1"/>
      <c r="F80" s="11"/>
      <c r="G80" s="1"/>
      <c r="H80" s="260"/>
      <c r="I80" s="1"/>
      <c r="J80" s="1"/>
      <c r="K80" s="1"/>
      <c r="L80" s="1"/>
      <c r="M80" s="1"/>
      <c r="N80" s="1"/>
      <c r="O80" s="1"/>
      <c r="P80" s="1"/>
    </row>
    <row r="81" spans="1:16" ht="18">
      <c r="B81" s="1"/>
      <c r="C81" s="92"/>
      <c r="D81" s="2"/>
      <c r="E81" s="1"/>
      <c r="F81" s="11"/>
      <c r="G81" s="1"/>
      <c r="H81" s="260"/>
      <c r="I81" s="1"/>
      <c r="J81" s="1"/>
      <c r="K81" s="1"/>
      <c r="L81" s="1"/>
      <c r="M81" s="1"/>
      <c r="N81" s="1"/>
      <c r="P81" s="94" t="s">
        <v>128</v>
      </c>
    </row>
    <row r="82" spans="1:16">
      <c r="B82" s="1"/>
      <c r="C82" s="1"/>
      <c r="D82" s="2"/>
      <c r="E82" s="1"/>
      <c r="F82" s="11"/>
      <c r="G82" s="1"/>
      <c r="H82" s="260"/>
      <c r="I82" s="1"/>
      <c r="J82" s="1"/>
      <c r="K82" s="1"/>
      <c r="L82" s="1"/>
      <c r="M82" s="1"/>
      <c r="N82" s="1"/>
      <c r="O82" s="1"/>
      <c r="P82" s="1"/>
    </row>
    <row r="83" spans="1:16">
      <c r="B83" s="1"/>
      <c r="C83" s="1"/>
      <c r="D83" s="2"/>
      <c r="E83" s="1"/>
      <c r="F83" s="11"/>
      <c r="G83" s="1"/>
      <c r="H83" s="260"/>
      <c r="I83" s="1"/>
      <c r="J83" s="1"/>
      <c r="K83" s="1"/>
      <c r="L83" s="1"/>
      <c r="M83" s="1"/>
      <c r="N83" s="1"/>
      <c r="O83" s="1"/>
      <c r="P83" s="1"/>
    </row>
    <row r="84" spans="1:16" ht="20.25">
      <c r="A84" s="93" t="s">
        <v>190</v>
      </c>
      <c r="B84" s="1"/>
      <c r="C84" s="1"/>
      <c r="D84" s="2"/>
      <c r="E84" s="1"/>
      <c r="F84" s="7"/>
      <c r="G84" s="7"/>
      <c r="H84" s="1"/>
      <c r="I84" s="260"/>
      <c r="L84" s="12"/>
      <c r="M84" s="12"/>
      <c r="P84" s="12" t="str">
        <f ca="1">P1</f>
        <v>OKT Project 20 of 26</v>
      </c>
    </row>
    <row r="85" spans="1:16" ht="18">
      <c r="B85" s="1"/>
      <c r="C85" s="1"/>
      <c r="D85" s="2"/>
      <c r="E85" s="1"/>
      <c r="F85" s="1"/>
      <c r="G85" s="1"/>
      <c r="H85" s="1"/>
      <c r="I85" s="260"/>
      <c r="J85" s="1"/>
      <c r="K85" s="1"/>
      <c r="L85" s="1"/>
      <c r="M85" s="1"/>
      <c r="P85" s="99" t="s">
        <v>132</v>
      </c>
    </row>
    <row r="86" spans="1:16" ht="18.75" thickBot="1">
      <c r="B86" s="4" t="s">
        <v>42</v>
      </c>
      <c r="C86" s="66" t="s">
        <v>81</v>
      </c>
      <c r="D86" s="2"/>
      <c r="E86" s="1"/>
      <c r="F86" s="1"/>
      <c r="G86" s="1"/>
      <c r="H86" s="1"/>
      <c r="I86" s="260"/>
      <c r="J86" s="260"/>
      <c r="K86" s="242"/>
      <c r="L86" s="260"/>
      <c r="M86" s="260"/>
      <c r="N86" s="260"/>
      <c r="O86" s="242"/>
      <c r="P86" s="1"/>
    </row>
    <row r="87" spans="1:16" ht="15.75" thickBot="1">
      <c r="C87" s="250"/>
      <c r="D87" s="2"/>
      <c r="E87" s="1"/>
      <c r="F87" s="1"/>
      <c r="G87" s="1"/>
      <c r="H87" s="1"/>
      <c r="I87" s="260"/>
      <c r="J87" s="260"/>
      <c r="K87" s="242"/>
      <c r="L87" s="100">
        <f>+J93</f>
        <v>2025</v>
      </c>
      <c r="M87" s="392" t="s">
        <v>9</v>
      </c>
      <c r="N87" s="393" t="s">
        <v>134</v>
      </c>
      <c r="O87" s="394" t="s">
        <v>11</v>
      </c>
      <c r="P87" s="1"/>
    </row>
    <row r="88" spans="1:16" ht="15">
      <c r="C88" s="90" t="s">
        <v>44</v>
      </c>
      <c r="D88" s="2"/>
      <c r="E88" s="1"/>
      <c r="F88" s="1"/>
      <c r="G88" s="1"/>
      <c r="H88" s="349"/>
      <c r="I88" s="1" t="s">
        <v>45</v>
      </c>
      <c r="J88" s="1"/>
      <c r="K88" s="104"/>
      <c r="L88" s="395" t="s">
        <v>253</v>
      </c>
      <c r="M88" s="396">
        <f>IF(J93&lt;D11,0,VLOOKUP(J93,C17:O73,9))</f>
        <v>482916.16092559719</v>
      </c>
      <c r="N88" s="396">
        <f>IF(J93&lt;D11,0,VLOOKUP(J93,C17:O73,11))</f>
        <v>482916.16092559719</v>
      </c>
      <c r="O88" s="68">
        <f>+N88-M88</f>
        <v>0</v>
      </c>
      <c r="P88" s="1"/>
    </row>
    <row r="89" spans="1:16" ht="15.75">
      <c r="C89" s="6"/>
      <c r="D89" s="2"/>
      <c r="E89" s="1"/>
      <c r="F89" s="1"/>
      <c r="G89" s="1"/>
      <c r="H89" s="1"/>
      <c r="I89" s="351"/>
      <c r="J89" s="351"/>
      <c r="K89" s="397"/>
      <c r="L89" s="398" t="s">
        <v>254</v>
      </c>
      <c r="M89" s="399">
        <f>IF(J93&lt;D11,0,VLOOKUP(J93,C100:P155,6))</f>
        <v>439852.1342768186</v>
      </c>
      <c r="N89" s="399">
        <f>IF(J93&lt;D11,0,VLOOKUP(J93,C100:P155,7))</f>
        <v>439852.1342768186</v>
      </c>
      <c r="O89" s="70">
        <f>+N89-M89</f>
        <v>0</v>
      </c>
      <c r="P89" s="1"/>
    </row>
    <row r="90" spans="1:16" ht="13.5" thickBot="1">
      <c r="C90" s="25" t="s">
        <v>82</v>
      </c>
      <c r="D90" s="96" t="str">
        <f>+D7</f>
        <v>Keystone Dam - Wekiwa 138 kV</v>
      </c>
      <c r="E90" s="1"/>
      <c r="F90" s="1"/>
      <c r="G90" s="1"/>
      <c r="H90" s="1"/>
      <c r="I90" s="260"/>
      <c r="J90" s="260"/>
      <c r="K90" s="400"/>
      <c r="L90" s="109" t="s">
        <v>135</v>
      </c>
      <c r="M90" s="401">
        <f>+M89-M88</f>
        <v>-43064.026648778585</v>
      </c>
      <c r="N90" s="401">
        <f>+N89-N88</f>
        <v>-43064.026648778585</v>
      </c>
      <c r="O90" s="402">
        <f>+O89-O88</f>
        <v>0</v>
      </c>
      <c r="P90" s="1"/>
    </row>
    <row r="91" spans="1:16" ht="13.5" thickBot="1">
      <c r="C91" s="29"/>
      <c r="D91" s="65" t="str">
        <f>IF(D8="","",D8)</f>
        <v/>
      </c>
      <c r="E91" s="11"/>
      <c r="F91" s="11"/>
      <c r="G91" s="11"/>
      <c r="H91" s="10"/>
      <c r="I91" s="260"/>
      <c r="J91" s="260"/>
      <c r="K91" s="242"/>
      <c r="L91" s="260"/>
      <c r="M91" s="260"/>
      <c r="N91" s="260"/>
      <c r="O91" s="242"/>
      <c r="P91" s="1"/>
    </row>
    <row r="92" spans="1:16" ht="13.5" thickBot="1">
      <c r="C92" s="74" t="s">
        <v>83</v>
      </c>
      <c r="D92" s="88" t="str">
        <f>+D9</f>
        <v>TP2015118</v>
      </c>
      <c r="E92" s="75" t="s">
        <v>310</v>
      </c>
      <c r="F92" s="527">
        <f>F9</f>
        <v>30809</v>
      </c>
      <c r="G92" s="75"/>
      <c r="H92" s="75"/>
      <c r="I92" s="75"/>
      <c r="J92" s="75"/>
    </row>
    <row r="93" spans="1:16">
      <c r="C93" s="34" t="s">
        <v>49</v>
      </c>
      <c r="D93" s="38">
        <v>3730181.7299999986</v>
      </c>
      <c r="E93" s="1" t="s">
        <v>84</v>
      </c>
      <c r="H93" s="2"/>
      <c r="I93" s="2"/>
      <c r="J93" s="36">
        <f>+'OKT.WS.G.BPU.ATRR.True-up'!M16</f>
        <v>2025</v>
      </c>
      <c r="K93" s="33"/>
      <c r="L93" s="242" t="s">
        <v>85</v>
      </c>
      <c r="P93" s="1"/>
    </row>
    <row r="94" spans="1:16">
      <c r="C94" s="34" t="s">
        <v>52</v>
      </c>
      <c r="D94" s="85">
        <f>IF(D11="","",D11)</f>
        <v>2020</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85">
        <f>IF(D12="","",D12)</f>
        <v>6</v>
      </c>
      <c r="E95" s="34" t="s">
        <v>55</v>
      </c>
      <c r="F95" s="2"/>
      <c r="G95" s="2"/>
      <c r="J95" s="40">
        <f>'OKT.WS.G.BPU.ATRR.True-up'!$F$81</f>
        <v>0.11246496061127743</v>
      </c>
      <c r="K95" s="7"/>
      <c r="L95" t="s">
        <v>86</v>
      </c>
      <c r="P95" s="1"/>
    </row>
    <row r="96" spans="1:16">
      <c r="C96" s="34" t="s">
        <v>57</v>
      </c>
      <c r="D96" s="38">
        <f>'OKT.WS.G.BPU.ATRR.True-up'!F$93</f>
        <v>32</v>
      </c>
      <c r="E96" s="34" t="s">
        <v>58</v>
      </c>
      <c r="F96" s="2"/>
      <c r="G96" s="2"/>
      <c r="J96" s="40">
        <f>IF(H88="",J95,'OKT.WS.G.BPU.ATRR.True-up'!$F$80)</f>
        <v>0.11246496061127743</v>
      </c>
      <c r="K96" s="7"/>
      <c r="L96" s="242" t="s">
        <v>59</v>
      </c>
      <c r="M96" s="7"/>
      <c r="N96" s="7"/>
      <c r="O96" s="7"/>
      <c r="P96" s="1"/>
    </row>
    <row r="97" spans="1:16" ht="13.5" thickBot="1">
      <c r="C97" s="34" t="s">
        <v>60</v>
      </c>
      <c r="D97" s="86" t="str">
        <f>+D14</f>
        <v>No</v>
      </c>
      <c r="E97" s="71" t="s">
        <v>62</v>
      </c>
      <c r="F97" s="76"/>
      <c r="G97" s="76"/>
      <c r="H97" s="77"/>
      <c r="I97" s="77"/>
      <c r="J97" s="357">
        <f>IF(D93=0,0,D93/D96)</f>
        <v>116568.17906249996</v>
      </c>
      <c r="K97" s="242"/>
      <c r="L97" s="242"/>
      <c r="M97" s="242"/>
      <c r="N97" s="242"/>
      <c r="O97" s="242"/>
      <c r="P97" s="1"/>
    </row>
    <row r="98" spans="1:16" ht="38.25">
      <c r="A98" s="5"/>
      <c r="B98" s="5"/>
      <c r="C98" s="78" t="s">
        <v>49</v>
      </c>
      <c r="D98" s="404" t="s">
        <v>193</v>
      </c>
      <c r="E98" s="365" t="s">
        <v>63</v>
      </c>
      <c r="F98" s="365" t="s">
        <v>64</v>
      </c>
      <c r="G98" s="361" t="s">
        <v>87</v>
      </c>
      <c r="H98" s="362" t="s">
        <v>251</v>
      </c>
      <c r="I98" s="363" t="s">
        <v>252</v>
      </c>
      <c r="J98" s="78" t="s">
        <v>88</v>
      </c>
      <c r="K98" s="79"/>
      <c r="L98" s="365" t="s">
        <v>91</v>
      </c>
      <c r="M98" s="365" t="s">
        <v>89</v>
      </c>
      <c r="N98" s="365" t="s">
        <v>91</v>
      </c>
      <c r="O98" s="365" t="s">
        <v>89</v>
      </c>
      <c r="P98" s="365" t="s">
        <v>67</v>
      </c>
    </row>
    <row r="99" spans="1:16" ht="13.5" thickBot="1">
      <c r="C99" s="46" t="s">
        <v>68</v>
      </c>
      <c r="D99" s="80" t="s">
        <v>69</v>
      </c>
      <c r="E99" s="46" t="s">
        <v>70</v>
      </c>
      <c r="F99" s="46" t="s">
        <v>69</v>
      </c>
      <c r="G99" s="46" t="s">
        <v>69</v>
      </c>
      <c r="H99" s="369" t="s">
        <v>71</v>
      </c>
      <c r="I99" s="367" t="s">
        <v>72</v>
      </c>
      <c r="J99" s="46" t="s">
        <v>93</v>
      </c>
      <c r="K99" s="44"/>
      <c r="L99" s="368" t="s">
        <v>74</v>
      </c>
      <c r="M99" s="368" t="s">
        <v>74</v>
      </c>
      <c r="N99" s="368" t="s">
        <v>94</v>
      </c>
      <c r="O99" s="368" t="s">
        <v>94</v>
      </c>
      <c r="P99" s="368" t="s">
        <v>94</v>
      </c>
    </row>
    <row r="100" spans="1:16">
      <c r="B100" t="str">
        <f t="shared" ref="B100:B155" si="19">IF(D100=F99,"","IU")</f>
        <v>IU</v>
      </c>
      <c r="C100" s="49">
        <f>IF(D94= "","-",D94)</f>
        <v>2020</v>
      </c>
      <c r="D100" s="371">
        <v>0</v>
      </c>
      <c r="E100" s="373">
        <v>61039.07142857142</v>
      </c>
      <c r="F100" s="375">
        <v>3357148.9285714286</v>
      </c>
      <c r="G100" s="375">
        <v>1678574.4642857143</v>
      </c>
      <c r="H100" s="375">
        <v>239662.05345541207</v>
      </c>
      <c r="I100" s="374">
        <v>239662.05345541207</v>
      </c>
      <c r="J100" s="53">
        <f t="shared" ref="J100:J131" si="20">+I100-H100</f>
        <v>0</v>
      </c>
      <c r="K100" s="53"/>
      <c r="L100" s="376">
        <f>+H100</f>
        <v>239662.05345541207</v>
      </c>
      <c r="M100" s="53">
        <f t="shared" ref="M100:M131" si="21">IF(L100&lt;&gt;0,+H100-L100,0)</f>
        <v>0</v>
      </c>
      <c r="N100" s="376">
        <f>+I100</f>
        <v>239662.05345541207</v>
      </c>
      <c r="O100" s="413">
        <f t="shared" ref="O100:O131" si="22">IF(N100&lt;&gt;0,+I100-N100,0)</f>
        <v>0</v>
      </c>
      <c r="P100" s="53">
        <f t="shared" ref="P100:P131" si="23">+O100-M100</f>
        <v>0</v>
      </c>
    </row>
    <row r="101" spans="1:16">
      <c r="B101" t="str">
        <f t="shared" si="19"/>
        <v>IU</v>
      </c>
      <c r="C101" s="49">
        <f>IF(D94="","-",+C100+1)</f>
        <v>2021</v>
      </c>
      <c r="D101" s="371">
        <v>3547310.9285714286</v>
      </c>
      <c r="E101" s="373">
        <v>144334</v>
      </c>
      <c r="F101" s="375">
        <v>3402976.9285714286</v>
      </c>
      <c r="G101" s="375">
        <v>3475143.9285714286</v>
      </c>
      <c r="H101" s="373">
        <v>554268.97375299619</v>
      </c>
      <c r="I101" s="374">
        <v>554268.97375299619</v>
      </c>
      <c r="J101" s="53">
        <f t="shared" si="20"/>
        <v>0</v>
      </c>
      <c r="K101" s="53"/>
      <c r="L101" s="376">
        <f>H101</f>
        <v>554268.97375299619</v>
      </c>
      <c r="M101" s="53">
        <f>IF(L101&lt;&gt;0,+H101-L101,0)</f>
        <v>0</v>
      </c>
      <c r="N101" s="376">
        <f>I101</f>
        <v>554268.97375299619</v>
      </c>
      <c r="O101" s="53">
        <f t="shared" si="22"/>
        <v>0</v>
      </c>
      <c r="P101" s="53">
        <f t="shared" si="23"/>
        <v>0</v>
      </c>
    </row>
    <row r="102" spans="1:16">
      <c r="B102" t="str">
        <f t="shared" si="19"/>
        <v>IU</v>
      </c>
      <c r="C102" s="49">
        <f>IF(D94="","-",+C101+1)</f>
        <v>2022</v>
      </c>
      <c r="D102" s="371">
        <v>3515992.4585714284</v>
      </c>
      <c r="E102" s="373">
        <v>177207.88238095236</v>
      </c>
      <c r="F102" s="375">
        <v>3338784.5761904763</v>
      </c>
      <c r="G102" s="375">
        <v>3427388.5173809524</v>
      </c>
      <c r="H102" s="373">
        <v>571241.0854974736</v>
      </c>
      <c r="I102" s="374">
        <v>571241.0854974736</v>
      </c>
      <c r="J102" s="53">
        <f t="shared" si="20"/>
        <v>0</v>
      </c>
      <c r="K102" s="53"/>
      <c r="L102" s="376">
        <f>H102</f>
        <v>571241.0854974736</v>
      </c>
      <c r="M102" s="53">
        <f>IF(L102&lt;&gt;0,+H102-L102,0)</f>
        <v>0</v>
      </c>
      <c r="N102" s="376">
        <f>I102</f>
        <v>571241.0854974736</v>
      </c>
      <c r="O102" s="53">
        <f t="shared" ref="O102" si="24">IF(N102&lt;&gt;0,+I102-N102,0)</f>
        <v>0</v>
      </c>
      <c r="P102" s="53">
        <f t="shared" ref="P102" si="25">+O102-M102</f>
        <v>0</v>
      </c>
    </row>
    <row r="103" spans="1:16">
      <c r="B103" t="str">
        <f t="shared" si="19"/>
        <v>IU</v>
      </c>
      <c r="C103" s="49">
        <f>IF(D94="","-",+C102+1)</f>
        <v>2023</v>
      </c>
      <c r="D103" s="371">
        <v>3338973.2261904762</v>
      </c>
      <c r="E103" s="373">
        <v>195871.27263157896</v>
      </c>
      <c r="F103" s="375">
        <v>3143101.9535588971</v>
      </c>
      <c r="G103" s="375">
        <v>3241037.5898746867</v>
      </c>
      <c r="H103" s="373">
        <v>551199.706951787</v>
      </c>
      <c r="I103" s="374">
        <v>551199.706951787</v>
      </c>
      <c r="J103" s="53">
        <f t="shared" si="20"/>
        <v>0</v>
      </c>
      <c r="K103" s="53"/>
      <c r="L103" s="376">
        <f>H103</f>
        <v>551199.706951787</v>
      </c>
      <c r="M103" s="53">
        <f>IF(L103&lt;&gt;0,+H103-L103,0)</f>
        <v>0</v>
      </c>
      <c r="N103" s="376">
        <f>I103</f>
        <v>551199.706951787</v>
      </c>
      <c r="O103" s="53">
        <f t="shared" ref="O103" si="26">IF(N103&lt;&gt;0,+I103-N103,0)</f>
        <v>0</v>
      </c>
      <c r="P103" s="53">
        <f t="shared" ref="P103" si="27">+O103-M103</f>
        <v>0</v>
      </c>
    </row>
    <row r="104" spans="1:16">
      <c r="B104" t="str">
        <f t="shared" si="19"/>
        <v/>
      </c>
      <c r="C104" s="49">
        <f>IF(D94="","-",+C103+1)</f>
        <v>2024</v>
      </c>
      <c r="D104" s="371">
        <v>3143101.9535588971</v>
      </c>
      <c r="E104" s="373">
        <v>218914.95176470588</v>
      </c>
      <c r="F104" s="375">
        <v>2924187.0017941911</v>
      </c>
      <c r="G104" s="375">
        <v>3033644.4776765443</v>
      </c>
      <c r="H104" s="373">
        <v>554815.85894432815</v>
      </c>
      <c r="I104" s="374">
        <v>554815.85894432815</v>
      </c>
      <c r="J104" s="53">
        <f t="shared" si="20"/>
        <v>0</v>
      </c>
      <c r="K104" s="53"/>
      <c r="L104" s="376">
        <f>H104</f>
        <v>554815.85894432815</v>
      </c>
      <c r="M104" s="53">
        <f>IF(L104&lt;&gt;0,+H104-L104,0)</f>
        <v>0</v>
      </c>
      <c r="N104" s="376">
        <f>I104</f>
        <v>554815.85894432815</v>
      </c>
      <c r="O104" s="53">
        <f t="shared" ref="O104" si="28">IF(N104&lt;&gt;0,+I104-N104,0)</f>
        <v>0</v>
      </c>
      <c r="P104" s="53">
        <f t="shared" ref="P104" si="29">+O104-M104</f>
        <v>0</v>
      </c>
    </row>
    <row r="105" spans="1:16">
      <c r="B105" t="str">
        <f t="shared" si="19"/>
        <v>IU</v>
      </c>
      <c r="C105" s="49">
        <f>IF(D94="","-",+C104+1)</f>
        <v>2025</v>
      </c>
      <c r="D105" s="11">
        <f>IF(F104+SUM(E$100:E104)=D$93,F104,D$93-SUM(E$100:E104))</f>
        <v>2932814.55179419</v>
      </c>
      <c r="E105" s="377">
        <f t="shared" ref="E105:E155" si="30">IF(+J$97&lt;F104,J$97,D105)</f>
        <v>116568.17906249996</v>
      </c>
      <c r="F105" s="54">
        <f t="shared" ref="F105:F155" si="31">+D105-E105</f>
        <v>2816246.3727316898</v>
      </c>
      <c r="G105" s="54">
        <f t="shared" ref="G105:G155" si="32">+(F105+D105)/2</f>
        <v>2874530.4622629397</v>
      </c>
      <c r="H105" s="459">
        <f t="shared" ref="H105:H131" si="33">(D105+F105)/2*J$95+E105</f>
        <v>439852.1342768186</v>
      </c>
      <c r="I105" s="446">
        <f t="shared" ref="I105:I155" si="34">+J$96*G105+E105</f>
        <v>439852.1342768186</v>
      </c>
      <c r="J105" s="53">
        <f t="shared" si="20"/>
        <v>0</v>
      </c>
      <c r="K105" s="53"/>
      <c r="L105" s="112"/>
      <c r="M105" s="53">
        <f t="shared" si="21"/>
        <v>0</v>
      </c>
      <c r="N105" s="112"/>
      <c r="O105" s="53">
        <f t="shared" si="22"/>
        <v>0</v>
      </c>
      <c r="P105" s="53">
        <f t="shared" si="23"/>
        <v>0</v>
      </c>
    </row>
    <row r="106" spans="1:16">
      <c r="B106" t="str">
        <f t="shared" si="19"/>
        <v/>
      </c>
      <c r="C106" s="49">
        <f>IF(D94="","-",+C105+1)</f>
        <v>2026</v>
      </c>
      <c r="D106" s="11">
        <f>IF(F105+SUM(E$100:E105)=D$93,F105,D$93-SUM(E$100:E105))</f>
        <v>2816246.3727316898</v>
      </c>
      <c r="E106" s="377">
        <f t="shared" si="30"/>
        <v>116568.17906249996</v>
      </c>
      <c r="F106" s="54">
        <f t="shared" si="31"/>
        <v>2699678.1936691897</v>
      </c>
      <c r="G106" s="54">
        <f t="shared" si="32"/>
        <v>2757962.28320044</v>
      </c>
      <c r="H106" s="459">
        <f t="shared" si="33"/>
        <v>426742.29861002619</v>
      </c>
      <c r="I106" s="446">
        <f t="shared" si="34"/>
        <v>426742.29861002619</v>
      </c>
      <c r="J106" s="53">
        <f t="shared" si="20"/>
        <v>0</v>
      </c>
      <c r="K106" s="53"/>
      <c r="L106" s="112"/>
      <c r="M106" s="53">
        <f t="shared" si="21"/>
        <v>0</v>
      </c>
      <c r="N106" s="112"/>
      <c r="O106" s="53">
        <f t="shared" si="22"/>
        <v>0</v>
      </c>
      <c r="P106" s="53">
        <f t="shared" si="23"/>
        <v>0</v>
      </c>
    </row>
    <row r="107" spans="1:16">
      <c r="B107" t="str">
        <f t="shared" si="19"/>
        <v/>
      </c>
      <c r="C107" s="49">
        <f>IF(D94="","-",+C106+1)</f>
        <v>2027</v>
      </c>
      <c r="D107" s="11">
        <f>IF(F106+SUM(E$100:E106)=D$93,F106,D$93-SUM(E$100:E106))</f>
        <v>2699678.1936691897</v>
      </c>
      <c r="E107" s="377">
        <f t="shared" si="30"/>
        <v>116568.17906249996</v>
      </c>
      <c r="F107" s="54">
        <f t="shared" si="31"/>
        <v>2583110.0146066896</v>
      </c>
      <c r="G107" s="54">
        <f t="shared" si="32"/>
        <v>2641394.1041379394</v>
      </c>
      <c r="H107" s="459">
        <f t="shared" si="33"/>
        <v>413632.46294323378</v>
      </c>
      <c r="I107" s="446">
        <f t="shared" si="34"/>
        <v>413632.46294323378</v>
      </c>
      <c r="J107" s="53">
        <f t="shared" si="20"/>
        <v>0</v>
      </c>
      <c r="K107" s="53"/>
      <c r="L107" s="112"/>
      <c r="M107" s="53">
        <f t="shared" si="21"/>
        <v>0</v>
      </c>
      <c r="N107" s="112"/>
      <c r="O107" s="53">
        <f t="shared" si="22"/>
        <v>0</v>
      </c>
      <c r="P107" s="53">
        <f t="shared" si="23"/>
        <v>0</v>
      </c>
    </row>
    <row r="108" spans="1:16">
      <c r="B108" t="str">
        <f t="shared" si="19"/>
        <v/>
      </c>
      <c r="C108" s="49">
        <f>IF(D94="","-",+C107+1)</f>
        <v>2028</v>
      </c>
      <c r="D108" s="11">
        <f>IF(F107+SUM(E$100:E107)=D$93,F107,D$93-SUM(E$100:E107))</f>
        <v>2583110.0146066896</v>
      </c>
      <c r="E108" s="377">
        <f t="shared" si="30"/>
        <v>116568.17906249996</v>
      </c>
      <c r="F108" s="54">
        <f t="shared" si="31"/>
        <v>2466541.8355441894</v>
      </c>
      <c r="G108" s="54">
        <f t="shared" si="32"/>
        <v>2524825.9250754397</v>
      </c>
      <c r="H108" s="459">
        <f t="shared" si="33"/>
        <v>400522.62727644137</v>
      </c>
      <c r="I108" s="446">
        <f t="shared" si="34"/>
        <v>400522.62727644137</v>
      </c>
      <c r="J108" s="53">
        <f t="shared" si="20"/>
        <v>0</v>
      </c>
      <c r="K108" s="53"/>
      <c r="L108" s="112"/>
      <c r="M108" s="53">
        <f t="shared" si="21"/>
        <v>0</v>
      </c>
      <c r="N108" s="112"/>
      <c r="O108" s="53">
        <f t="shared" si="22"/>
        <v>0</v>
      </c>
      <c r="P108" s="53">
        <f t="shared" si="23"/>
        <v>0</v>
      </c>
    </row>
    <row r="109" spans="1:16">
      <c r="B109" t="str">
        <f t="shared" si="19"/>
        <v/>
      </c>
      <c r="C109" s="49">
        <f>IF(D94="","-",+C108+1)</f>
        <v>2029</v>
      </c>
      <c r="D109" s="11">
        <f>IF(F108+SUM(E$100:E108)=D$93,F108,D$93-SUM(E$100:E108))</f>
        <v>2466541.8355441894</v>
      </c>
      <c r="E109" s="377">
        <f t="shared" si="30"/>
        <v>116568.17906249996</v>
      </c>
      <c r="F109" s="54">
        <f t="shared" si="31"/>
        <v>2349973.6564816893</v>
      </c>
      <c r="G109" s="54">
        <f t="shared" si="32"/>
        <v>2408257.7460129391</v>
      </c>
      <c r="H109" s="459">
        <f t="shared" si="33"/>
        <v>387412.79160964891</v>
      </c>
      <c r="I109" s="446">
        <f t="shared" si="34"/>
        <v>387412.79160964891</v>
      </c>
      <c r="J109" s="53">
        <f t="shared" si="20"/>
        <v>0</v>
      </c>
      <c r="K109" s="53"/>
      <c r="L109" s="112"/>
      <c r="M109" s="53">
        <f t="shared" si="21"/>
        <v>0</v>
      </c>
      <c r="N109" s="112"/>
      <c r="O109" s="53">
        <f t="shared" si="22"/>
        <v>0</v>
      </c>
      <c r="P109" s="53">
        <f t="shared" si="23"/>
        <v>0</v>
      </c>
    </row>
    <row r="110" spans="1:16">
      <c r="B110" t="str">
        <f t="shared" si="19"/>
        <v/>
      </c>
      <c r="C110" s="49">
        <f>IF(D94="","-",+C109+1)</f>
        <v>2030</v>
      </c>
      <c r="D110" s="11">
        <f>IF(F109+SUM(E$100:E109)=D$93,F109,D$93-SUM(E$100:E109))</f>
        <v>2349973.6564816893</v>
      </c>
      <c r="E110" s="377">
        <f t="shared" si="30"/>
        <v>116568.17906249996</v>
      </c>
      <c r="F110" s="54">
        <f t="shared" si="31"/>
        <v>2233405.4774191892</v>
      </c>
      <c r="G110" s="54">
        <f t="shared" si="32"/>
        <v>2291689.5669504395</v>
      </c>
      <c r="H110" s="459">
        <f t="shared" si="33"/>
        <v>374302.95594285661</v>
      </c>
      <c r="I110" s="446">
        <f t="shared" si="34"/>
        <v>374302.95594285661</v>
      </c>
      <c r="J110" s="53">
        <f t="shared" si="20"/>
        <v>0</v>
      </c>
      <c r="K110" s="53"/>
      <c r="L110" s="112"/>
      <c r="M110" s="53">
        <f t="shared" si="21"/>
        <v>0</v>
      </c>
      <c r="N110" s="112"/>
      <c r="O110" s="53">
        <f t="shared" si="22"/>
        <v>0</v>
      </c>
      <c r="P110" s="53">
        <f t="shared" si="23"/>
        <v>0</v>
      </c>
    </row>
    <row r="111" spans="1:16">
      <c r="B111" t="str">
        <f t="shared" si="19"/>
        <v/>
      </c>
      <c r="C111" s="49">
        <f>IF(D94="","-",+C110+1)</f>
        <v>2031</v>
      </c>
      <c r="D111" s="11">
        <f>IF(F110+SUM(E$100:E110)=D$93,F110,D$93-SUM(E$100:E110))</f>
        <v>2233405.4774191892</v>
      </c>
      <c r="E111" s="377">
        <f t="shared" si="30"/>
        <v>116568.17906249996</v>
      </c>
      <c r="F111" s="54">
        <f t="shared" si="31"/>
        <v>2116837.298356689</v>
      </c>
      <c r="G111" s="54">
        <f t="shared" si="32"/>
        <v>2175121.3878879389</v>
      </c>
      <c r="H111" s="459">
        <f t="shared" si="33"/>
        <v>361193.12027606415</v>
      </c>
      <c r="I111" s="446">
        <f t="shared" si="34"/>
        <v>361193.12027606415</v>
      </c>
      <c r="J111" s="53">
        <f t="shared" si="20"/>
        <v>0</v>
      </c>
      <c r="K111" s="53"/>
      <c r="L111" s="112"/>
      <c r="M111" s="53">
        <f t="shared" si="21"/>
        <v>0</v>
      </c>
      <c r="N111" s="112"/>
      <c r="O111" s="53">
        <f t="shared" si="22"/>
        <v>0</v>
      </c>
      <c r="P111" s="53">
        <f t="shared" si="23"/>
        <v>0</v>
      </c>
    </row>
    <row r="112" spans="1:16">
      <c r="B112" t="str">
        <f t="shared" si="19"/>
        <v/>
      </c>
      <c r="C112" s="49">
        <f>IF(D94="","-",+C111+1)</f>
        <v>2032</v>
      </c>
      <c r="D112" s="11">
        <f>IF(F111+SUM(E$100:E111)=D$93,F111,D$93-SUM(E$100:E111))</f>
        <v>2116837.298356689</v>
      </c>
      <c r="E112" s="377">
        <f t="shared" si="30"/>
        <v>116568.17906249996</v>
      </c>
      <c r="F112" s="54">
        <f t="shared" si="31"/>
        <v>2000269.1192941891</v>
      </c>
      <c r="G112" s="54">
        <f t="shared" si="32"/>
        <v>2058553.2088254392</v>
      </c>
      <c r="H112" s="459">
        <f t="shared" si="33"/>
        <v>348083.28460927174</v>
      </c>
      <c r="I112" s="446">
        <f t="shared" si="34"/>
        <v>348083.28460927174</v>
      </c>
      <c r="J112" s="53">
        <f t="shared" si="20"/>
        <v>0</v>
      </c>
      <c r="K112" s="53"/>
      <c r="L112" s="112"/>
      <c r="M112" s="53">
        <f t="shared" si="21"/>
        <v>0</v>
      </c>
      <c r="N112" s="112"/>
      <c r="O112" s="53">
        <f t="shared" si="22"/>
        <v>0</v>
      </c>
      <c r="P112" s="53">
        <f t="shared" si="23"/>
        <v>0</v>
      </c>
    </row>
    <row r="113" spans="2:16">
      <c r="B113" t="str">
        <f t="shared" si="19"/>
        <v/>
      </c>
      <c r="C113" s="49">
        <f>IF(D94="","-",+C112+1)</f>
        <v>2033</v>
      </c>
      <c r="D113" s="11">
        <f>IF(F112+SUM(E$100:E112)=D$93,F112,D$93-SUM(E$100:E112))</f>
        <v>2000269.1192941891</v>
      </c>
      <c r="E113" s="377">
        <f t="shared" si="30"/>
        <v>116568.17906249996</v>
      </c>
      <c r="F113" s="54">
        <f t="shared" si="31"/>
        <v>1883700.9402316893</v>
      </c>
      <c r="G113" s="54">
        <f t="shared" si="32"/>
        <v>1941985.0297629391</v>
      </c>
      <c r="H113" s="459">
        <f t="shared" si="33"/>
        <v>334973.44894247933</v>
      </c>
      <c r="I113" s="446">
        <f t="shared" si="34"/>
        <v>334973.44894247933</v>
      </c>
      <c r="J113" s="53">
        <f t="shared" si="20"/>
        <v>0</v>
      </c>
      <c r="K113" s="53"/>
      <c r="L113" s="112"/>
      <c r="M113" s="53">
        <f t="shared" si="21"/>
        <v>0</v>
      </c>
      <c r="N113" s="112"/>
      <c r="O113" s="53">
        <f t="shared" si="22"/>
        <v>0</v>
      </c>
      <c r="P113" s="53">
        <f t="shared" si="23"/>
        <v>0</v>
      </c>
    </row>
    <row r="114" spans="2:16">
      <c r="B114" t="str">
        <f t="shared" si="19"/>
        <v/>
      </c>
      <c r="C114" s="49">
        <f>IF(D94="","-",+C113+1)</f>
        <v>2034</v>
      </c>
      <c r="D114" s="11">
        <f>IF(F113+SUM(E$100:E113)=D$93,F113,D$93-SUM(E$100:E113))</f>
        <v>1883700.9402316893</v>
      </c>
      <c r="E114" s="377">
        <f t="shared" si="30"/>
        <v>116568.17906249996</v>
      </c>
      <c r="F114" s="54">
        <f t="shared" si="31"/>
        <v>1767132.7611691894</v>
      </c>
      <c r="G114" s="54">
        <f t="shared" si="32"/>
        <v>1825416.8507004394</v>
      </c>
      <c r="H114" s="459">
        <f t="shared" si="33"/>
        <v>321863.61327568698</v>
      </c>
      <c r="I114" s="446">
        <f t="shared" si="34"/>
        <v>321863.61327568698</v>
      </c>
      <c r="J114" s="53">
        <f t="shared" si="20"/>
        <v>0</v>
      </c>
      <c r="K114" s="53"/>
      <c r="L114" s="112"/>
      <c r="M114" s="53">
        <f t="shared" si="21"/>
        <v>0</v>
      </c>
      <c r="N114" s="112"/>
      <c r="O114" s="53">
        <f t="shared" si="22"/>
        <v>0</v>
      </c>
      <c r="P114" s="53">
        <f t="shared" si="23"/>
        <v>0</v>
      </c>
    </row>
    <row r="115" spans="2:16">
      <c r="B115" t="str">
        <f t="shared" si="19"/>
        <v/>
      </c>
      <c r="C115" s="49">
        <f>IF(D94="","-",+C114+1)</f>
        <v>2035</v>
      </c>
      <c r="D115" s="11">
        <f>IF(F114+SUM(E$100:E114)=D$93,F114,D$93-SUM(E$100:E114))</f>
        <v>1767132.7611691894</v>
      </c>
      <c r="E115" s="377">
        <f t="shared" si="30"/>
        <v>116568.17906249996</v>
      </c>
      <c r="F115" s="54">
        <f t="shared" si="31"/>
        <v>1650564.5821066895</v>
      </c>
      <c r="G115" s="54">
        <f t="shared" si="32"/>
        <v>1708848.6716379393</v>
      </c>
      <c r="H115" s="459">
        <f t="shared" si="33"/>
        <v>308753.77760889457</v>
      </c>
      <c r="I115" s="446">
        <f t="shared" si="34"/>
        <v>308753.77760889457</v>
      </c>
      <c r="J115" s="53">
        <f t="shared" si="20"/>
        <v>0</v>
      </c>
      <c r="K115" s="53"/>
      <c r="L115" s="112"/>
      <c r="M115" s="53">
        <f t="shared" si="21"/>
        <v>0</v>
      </c>
      <c r="N115" s="112"/>
      <c r="O115" s="53">
        <f t="shared" si="22"/>
        <v>0</v>
      </c>
      <c r="P115" s="53">
        <f t="shared" si="23"/>
        <v>0</v>
      </c>
    </row>
    <row r="116" spans="2:16">
      <c r="B116" t="str">
        <f t="shared" si="19"/>
        <v/>
      </c>
      <c r="C116" s="49">
        <f>IF(D94="","-",+C115+1)</f>
        <v>2036</v>
      </c>
      <c r="D116" s="11">
        <f>IF(F115+SUM(E$100:E115)=D$93,F115,D$93-SUM(E$100:E115))</f>
        <v>1650564.5821066895</v>
      </c>
      <c r="E116" s="377">
        <f t="shared" si="30"/>
        <v>116568.17906249996</v>
      </c>
      <c r="F116" s="54">
        <f t="shared" si="31"/>
        <v>1533996.4030441896</v>
      </c>
      <c r="G116" s="54">
        <f t="shared" si="32"/>
        <v>1592280.4925754396</v>
      </c>
      <c r="H116" s="459">
        <f t="shared" si="33"/>
        <v>295643.94194210222</v>
      </c>
      <c r="I116" s="446">
        <f t="shared" si="34"/>
        <v>295643.94194210222</v>
      </c>
      <c r="J116" s="53">
        <f t="shared" si="20"/>
        <v>0</v>
      </c>
      <c r="K116" s="53"/>
      <c r="L116" s="112"/>
      <c r="M116" s="53">
        <f t="shared" si="21"/>
        <v>0</v>
      </c>
      <c r="N116" s="112"/>
      <c r="O116" s="53">
        <f t="shared" si="22"/>
        <v>0</v>
      </c>
      <c r="P116" s="53">
        <f t="shared" si="23"/>
        <v>0</v>
      </c>
    </row>
    <row r="117" spans="2:16">
      <c r="B117" t="str">
        <f t="shared" si="19"/>
        <v/>
      </c>
      <c r="C117" s="49">
        <f>IF(D94="","-",+C116+1)</f>
        <v>2037</v>
      </c>
      <c r="D117" s="11">
        <f>IF(F116+SUM(E$100:E116)=D$93,F116,D$93-SUM(E$100:E116))</f>
        <v>1533996.4030441896</v>
      </c>
      <c r="E117" s="377">
        <f t="shared" si="30"/>
        <v>116568.17906249996</v>
      </c>
      <c r="F117" s="54">
        <f t="shared" si="31"/>
        <v>1417428.2239816897</v>
      </c>
      <c r="G117" s="54">
        <f t="shared" si="32"/>
        <v>1475712.3135129395</v>
      </c>
      <c r="H117" s="459">
        <f t="shared" si="33"/>
        <v>282534.10627530981</v>
      </c>
      <c r="I117" s="446">
        <f t="shared" si="34"/>
        <v>282534.10627530981</v>
      </c>
      <c r="J117" s="53">
        <f t="shared" si="20"/>
        <v>0</v>
      </c>
      <c r="K117" s="53"/>
      <c r="L117" s="112"/>
      <c r="M117" s="53">
        <f t="shared" si="21"/>
        <v>0</v>
      </c>
      <c r="N117" s="112"/>
      <c r="O117" s="53">
        <f t="shared" si="22"/>
        <v>0</v>
      </c>
      <c r="P117" s="53">
        <f t="shared" si="23"/>
        <v>0</v>
      </c>
    </row>
    <row r="118" spans="2:16">
      <c r="B118" t="str">
        <f t="shared" si="19"/>
        <v/>
      </c>
      <c r="C118" s="49">
        <f>IF(D94="","-",+C117+1)</f>
        <v>2038</v>
      </c>
      <c r="D118" s="11">
        <f>IF(F117+SUM(E$100:E117)=D$93,F117,D$93-SUM(E$100:E117))</f>
        <v>1417428.2239816897</v>
      </c>
      <c r="E118" s="377">
        <f t="shared" si="30"/>
        <v>116568.17906249996</v>
      </c>
      <c r="F118" s="54">
        <f t="shared" si="31"/>
        <v>1300860.0449191898</v>
      </c>
      <c r="G118" s="54">
        <f t="shared" si="32"/>
        <v>1359144.1344504398</v>
      </c>
      <c r="H118" s="459">
        <f t="shared" si="33"/>
        <v>269424.27060851746</v>
      </c>
      <c r="I118" s="446">
        <f t="shared" si="34"/>
        <v>269424.27060851746</v>
      </c>
      <c r="J118" s="53">
        <f t="shared" si="20"/>
        <v>0</v>
      </c>
      <c r="K118" s="53"/>
      <c r="L118" s="112"/>
      <c r="M118" s="53">
        <f t="shared" si="21"/>
        <v>0</v>
      </c>
      <c r="N118" s="112"/>
      <c r="O118" s="53">
        <f t="shared" si="22"/>
        <v>0</v>
      </c>
      <c r="P118" s="53">
        <f t="shared" si="23"/>
        <v>0</v>
      </c>
    </row>
    <row r="119" spans="2:16">
      <c r="B119" t="str">
        <f t="shared" si="19"/>
        <v/>
      </c>
      <c r="C119" s="49">
        <f>IF(D94="","-",+C118+1)</f>
        <v>2039</v>
      </c>
      <c r="D119" s="11">
        <f>IF(F118+SUM(E$100:E118)=D$93,F118,D$93-SUM(E$100:E118))</f>
        <v>1300860.0449191898</v>
      </c>
      <c r="E119" s="377">
        <f t="shared" si="30"/>
        <v>116568.17906249996</v>
      </c>
      <c r="F119" s="54">
        <f t="shared" si="31"/>
        <v>1184291.8658566899</v>
      </c>
      <c r="G119" s="54">
        <f t="shared" si="32"/>
        <v>1242575.9553879397</v>
      </c>
      <c r="H119" s="459">
        <f t="shared" si="33"/>
        <v>256314.43494172502</v>
      </c>
      <c r="I119" s="446">
        <f t="shared" si="34"/>
        <v>256314.43494172502</v>
      </c>
      <c r="J119" s="53">
        <f t="shared" si="20"/>
        <v>0</v>
      </c>
      <c r="K119" s="53"/>
      <c r="L119" s="112"/>
      <c r="M119" s="53">
        <f t="shared" si="21"/>
        <v>0</v>
      </c>
      <c r="N119" s="112"/>
      <c r="O119" s="53">
        <f t="shared" si="22"/>
        <v>0</v>
      </c>
      <c r="P119" s="53">
        <f t="shared" si="23"/>
        <v>0</v>
      </c>
    </row>
    <row r="120" spans="2:16">
      <c r="B120" t="str">
        <f t="shared" si="19"/>
        <v/>
      </c>
      <c r="C120" s="49">
        <f>IF(D94="","-",+C119+1)</f>
        <v>2040</v>
      </c>
      <c r="D120" s="11">
        <f>IF(F119+SUM(E$100:E119)=D$93,F119,D$93-SUM(E$100:E119))</f>
        <v>1184291.8658566899</v>
      </c>
      <c r="E120" s="377">
        <f t="shared" si="30"/>
        <v>116568.17906249996</v>
      </c>
      <c r="F120" s="54">
        <f t="shared" si="31"/>
        <v>1067723.68679419</v>
      </c>
      <c r="G120" s="54">
        <f t="shared" si="32"/>
        <v>1126007.77632544</v>
      </c>
      <c r="H120" s="459">
        <f t="shared" si="33"/>
        <v>243204.59927493264</v>
      </c>
      <c r="I120" s="446">
        <f t="shared" si="34"/>
        <v>243204.59927493264</v>
      </c>
      <c r="J120" s="53">
        <f t="shared" si="20"/>
        <v>0</v>
      </c>
      <c r="K120" s="53"/>
      <c r="L120" s="112"/>
      <c r="M120" s="53">
        <f t="shared" si="21"/>
        <v>0</v>
      </c>
      <c r="N120" s="112"/>
      <c r="O120" s="53">
        <f t="shared" si="22"/>
        <v>0</v>
      </c>
      <c r="P120" s="53">
        <f t="shared" si="23"/>
        <v>0</v>
      </c>
    </row>
    <row r="121" spans="2:16">
      <c r="B121" t="str">
        <f t="shared" si="19"/>
        <v/>
      </c>
      <c r="C121" s="49">
        <f>IF(D94="","-",+C120+1)</f>
        <v>2041</v>
      </c>
      <c r="D121" s="11">
        <f>IF(F120+SUM(E$100:E120)=D$93,F120,D$93-SUM(E$100:E120))</f>
        <v>1067723.68679419</v>
      </c>
      <c r="E121" s="377">
        <f t="shared" si="30"/>
        <v>116568.17906249996</v>
      </c>
      <c r="F121" s="54">
        <f t="shared" si="31"/>
        <v>951155.50773169007</v>
      </c>
      <c r="G121" s="54">
        <f t="shared" si="32"/>
        <v>1009439.59726294</v>
      </c>
      <c r="H121" s="459">
        <f t="shared" si="33"/>
        <v>230094.76360814026</v>
      </c>
      <c r="I121" s="446">
        <f t="shared" si="34"/>
        <v>230094.76360814026</v>
      </c>
      <c r="J121" s="53">
        <f t="shared" si="20"/>
        <v>0</v>
      </c>
      <c r="K121" s="53"/>
      <c r="L121" s="112"/>
      <c r="M121" s="53">
        <f t="shared" si="21"/>
        <v>0</v>
      </c>
      <c r="N121" s="112"/>
      <c r="O121" s="53">
        <f t="shared" si="22"/>
        <v>0</v>
      </c>
      <c r="P121" s="53">
        <f t="shared" si="23"/>
        <v>0</v>
      </c>
    </row>
    <row r="122" spans="2:16">
      <c r="B122" t="str">
        <f t="shared" si="19"/>
        <v/>
      </c>
      <c r="C122" s="49">
        <f>IF(D94="","-",+C121+1)</f>
        <v>2042</v>
      </c>
      <c r="D122" s="11">
        <f>IF(F121+SUM(E$100:E121)=D$93,F121,D$93-SUM(E$100:E121))</f>
        <v>951155.50773169007</v>
      </c>
      <c r="E122" s="377">
        <f t="shared" si="30"/>
        <v>116568.17906249996</v>
      </c>
      <c r="F122" s="54">
        <f t="shared" si="31"/>
        <v>834587.32866919017</v>
      </c>
      <c r="G122" s="54">
        <f t="shared" si="32"/>
        <v>892871.41820044012</v>
      </c>
      <c r="H122" s="459">
        <f t="shared" si="33"/>
        <v>216984.92794134788</v>
      </c>
      <c r="I122" s="446">
        <f t="shared" si="34"/>
        <v>216984.92794134788</v>
      </c>
      <c r="J122" s="53">
        <f t="shared" si="20"/>
        <v>0</v>
      </c>
      <c r="K122" s="53"/>
      <c r="L122" s="112"/>
      <c r="M122" s="53">
        <f t="shared" si="21"/>
        <v>0</v>
      </c>
      <c r="N122" s="112"/>
      <c r="O122" s="53">
        <f t="shared" si="22"/>
        <v>0</v>
      </c>
      <c r="P122" s="53">
        <f t="shared" si="23"/>
        <v>0</v>
      </c>
    </row>
    <row r="123" spans="2:16">
      <c r="B123" t="str">
        <f t="shared" si="19"/>
        <v/>
      </c>
      <c r="C123" s="49">
        <f>IF(D94="","-",+C122+1)</f>
        <v>2043</v>
      </c>
      <c r="D123" s="11">
        <f>IF(F122+SUM(E$100:E122)=D$93,F122,D$93-SUM(E$100:E122))</f>
        <v>834587.32866919017</v>
      </c>
      <c r="E123" s="377">
        <f t="shared" si="30"/>
        <v>116568.17906249996</v>
      </c>
      <c r="F123" s="54">
        <f t="shared" si="31"/>
        <v>718019.14960669028</v>
      </c>
      <c r="G123" s="54">
        <f t="shared" si="32"/>
        <v>776303.23913794023</v>
      </c>
      <c r="H123" s="459">
        <f t="shared" si="33"/>
        <v>203875.09227455547</v>
      </c>
      <c r="I123" s="446">
        <f t="shared" si="34"/>
        <v>203875.09227455547</v>
      </c>
      <c r="J123" s="53">
        <f t="shared" si="20"/>
        <v>0</v>
      </c>
      <c r="K123" s="53"/>
      <c r="L123" s="112"/>
      <c r="M123" s="53">
        <f t="shared" si="21"/>
        <v>0</v>
      </c>
      <c r="N123" s="112"/>
      <c r="O123" s="53">
        <f t="shared" si="22"/>
        <v>0</v>
      </c>
      <c r="P123" s="53">
        <f t="shared" si="23"/>
        <v>0</v>
      </c>
    </row>
    <row r="124" spans="2:16">
      <c r="B124" t="str">
        <f t="shared" si="19"/>
        <v/>
      </c>
      <c r="C124" s="49">
        <f>IF(D94="","-",+C123+1)</f>
        <v>2044</v>
      </c>
      <c r="D124" s="11">
        <f>IF(F123+SUM(E$100:E123)=D$93,F123,D$93-SUM(E$100:E123))</f>
        <v>718019.14960669028</v>
      </c>
      <c r="E124" s="377">
        <f t="shared" si="30"/>
        <v>116568.17906249996</v>
      </c>
      <c r="F124" s="54">
        <f t="shared" si="31"/>
        <v>601450.97054419038</v>
      </c>
      <c r="G124" s="54">
        <f t="shared" si="32"/>
        <v>659735.06007544033</v>
      </c>
      <c r="H124" s="459">
        <f t="shared" si="33"/>
        <v>190765.25660776312</v>
      </c>
      <c r="I124" s="446">
        <f t="shared" si="34"/>
        <v>190765.25660776312</v>
      </c>
      <c r="J124" s="53">
        <f t="shared" si="20"/>
        <v>0</v>
      </c>
      <c r="K124" s="53"/>
      <c r="L124" s="112"/>
      <c r="M124" s="53">
        <f t="shared" si="21"/>
        <v>0</v>
      </c>
      <c r="N124" s="112"/>
      <c r="O124" s="53">
        <f t="shared" si="22"/>
        <v>0</v>
      </c>
      <c r="P124" s="53">
        <f t="shared" si="23"/>
        <v>0</v>
      </c>
    </row>
    <row r="125" spans="2:16">
      <c r="B125" t="str">
        <f t="shared" si="19"/>
        <v/>
      </c>
      <c r="C125" s="49">
        <f>IF(D94="","-",+C124+1)</f>
        <v>2045</v>
      </c>
      <c r="D125" s="11">
        <f>IF(F124+SUM(E$100:E124)=D$93,F124,D$93-SUM(E$100:E124))</f>
        <v>601450.97054419038</v>
      </c>
      <c r="E125" s="377">
        <f t="shared" si="30"/>
        <v>116568.17906249996</v>
      </c>
      <c r="F125" s="54">
        <f t="shared" si="31"/>
        <v>484882.79148169042</v>
      </c>
      <c r="G125" s="54">
        <f t="shared" si="32"/>
        <v>543166.88101294043</v>
      </c>
      <c r="H125" s="459">
        <f t="shared" si="33"/>
        <v>177655.42094097071</v>
      </c>
      <c r="I125" s="446">
        <f t="shared" si="34"/>
        <v>177655.42094097071</v>
      </c>
      <c r="J125" s="53">
        <f t="shared" si="20"/>
        <v>0</v>
      </c>
      <c r="K125" s="53"/>
      <c r="L125" s="112"/>
      <c r="M125" s="53">
        <f t="shared" si="21"/>
        <v>0</v>
      </c>
      <c r="N125" s="112"/>
      <c r="O125" s="53">
        <f t="shared" si="22"/>
        <v>0</v>
      </c>
      <c r="P125" s="53">
        <f t="shared" si="23"/>
        <v>0</v>
      </c>
    </row>
    <row r="126" spans="2:16">
      <c r="B126" t="str">
        <f t="shared" si="19"/>
        <v/>
      </c>
      <c r="C126" s="49">
        <f>IF(D94="","-",+C125+1)</f>
        <v>2046</v>
      </c>
      <c r="D126" s="11">
        <f>IF(F125+SUM(E$100:E125)=D$93,F125,D$93-SUM(E$100:E125))</f>
        <v>484882.79148169042</v>
      </c>
      <c r="E126" s="377">
        <f t="shared" si="30"/>
        <v>116568.17906249996</v>
      </c>
      <c r="F126" s="54">
        <f t="shared" si="31"/>
        <v>368314.61241919047</v>
      </c>
      <c r="G126" s="54">
        <f t="shared" si="32"/>
        <v>426598.70195044042</v>
      </c>
      <c r="H126" s="459">
        <f t="shared" si="33"/>
        <v>164545.5852741783</v>
      </c>
      <c r="I126" s="446">
        <f t="shared" si="34"/>
        <v>164545.5852741783</v>
      </c>
      <c r="J126" s="53">
        <f t="shared" si="20"/>
        <v>0</v>
      </c>
      <c r="K126" s="53"/>
      <c r="L126" s="112"/>
      <c r="M126" s="53">
        <f t="shared" si="21"/>
        <v>0</v>
      </c>
      <c r="N126" s="112"/>
      <c r="O126" s="53">
        <f t="shared" si="22"/>
        <v>0</v>
      </c>
      <c r="P126" s="53">
        <f t="shared" si="23"/>
        <v>0</v>
      </c>
    </row>
    <row r="127" spans="2:16">
      <c r="B127" t="str">
        <f t="shared" si="19"/>
        <v/>
      </c>
      <c r="C127" s="49">
        <f>IF(D94="","-",+C126+1)</f>
        <v>2047</v>
      </c>
      <c r="D127" s="11">
        <f>IF(F126+SUM(E$100:E126)=D$93,F126,D$93-SUM(E$100:E126))</f>
        <v>368314.61241919047</v>
      </c>
      <c r="E127" s="377">
        <f t="shared" si="30"/>
        <v>116568.17906249996</v>
      </c>
      <c r="F127" s="54">
        <f t="shared" si="31"/>
        <v>251746.43335669051</v>
      </c>
      <c r="G127" s="54">
        <f t="shared" si="32"/>
        <v>310030.52288794052</v>
      </c>
      <c r="H127" s="459">
        <f t="shared" si="33"/>
        <v>151435.74960738595</v>
      </c>
      <c r="I127" s="446">
        <f t="shared" si="34"/>
        <v>151435.74960738595</v>
      </c>
      <c r="J127" s="53">
        <f t="shared" si="20"/>
        <v>0</v>
      </c>
      <c r="K127" s="53"/>
      <c r="L127" s="112"/>
      <c r="M127" s="53">
        <f t="shared" si="21"/>
        <v>0</v>
      </c>
      <c r="N127" s="112"/>
      <c r="O127" s="53">
        <f t="shared" si="22"/>
        <v>0</v>
      </c>
      <c r="P127" s="53">
        <f t="shared" si="23"/>
        <v>0</v>
      </c>
    </row>
    <row r="128" spans="2:16">
      <c r="B128" t="str">
        <f t="shared" si="19"/>
        <v/>
      </c>
      <c r="C128" s="49">
        <f>IF(D94="","-",+C127+1)</f>
        <v>2048</v>
      </c>
      <c r="D128" s="11">
        <f>IF(F127+SUM(E$100:E127)=D$93,F127,D$93-SUM(E$100:E127))</f>
        <v>251746.43335669051</v>
      </c>
      <c r="E128" s="377">
        <f t="shared" si="30"/>
        <v>116568.17906249996</v>
      </c>
      <c r="F128" s="54">
        <f t="shared" si="31"/>
        <v>135178.25429419056</v>
      </c>
      <c r="G128" s="54">
        <f t="shared" si="32"/>
        <v>193462.34382544053</v>
      </c>
      <c r="H128" s="459">
        <f t="shared" si="33"/>
        <v>138325.91394059354</v>
      </c>
      <c r="I128" s="446">
        <f t="shared" si="34"/>
        <v>138325.91394059354</v>
      </c>
      <c r="J128" s="53">
        <f t="shared" si="20"/>
        <v>0</v>
      </c>
      <c r="K128" s="53"/>
      <c r="L128" s="112"/>
      <c r="M128" s="53">
        <f t="shared" si="21"/>
        <v>0</v>
      </c>
      <c r="N128" s="112"/>
      <c r="O128" s="53">
        <f t="shared" si="22"/>
        <v>0</v>
      </c>
      <c r="P128" s="53">
        <f t="shared" si="23"/>
        <v>0</v>
      </c>
    </row>
    <row r="129" spans="2:16">
      <c r="B129" t="str">
        <f t="shared" si="19"/>
        <v/>
      </c>
      <c r="C129" s="49">
        <f>IF(D94="","-",+C128+1)</f>
        <v>2049</v>
      </c>
      <c r="D129" s="11">
        <f>IF(F128+SUM(E$100:E128)=D$93,F128,D$93-SUM(E$100:E128))</f>
        <v>135178.25429419056</v>
      </c>
      <c r="E129" s="377">
        <f t="shared" si="30"/>
        <v>116568.17906249996</v>
      </c>
      <c r="F129" s="54">
        <f t="shared" si="31"/>
        <v>18610.0752316906</v>
      </c>
      <c r="G129" s="54">
        <f t="shared" si="32"/>
        <v>76894.164762940578</v>
      </c>
      <c r="H129" s="459">
        <f t="shared" si="33"/>
        <v>125216.07827380115</v>
      </c>
      <c r="I129" s="446">
        <f t="shared" si="34"/>
        <v>125216.07827380115</v>
      </c>
      <c r="J129" s="53">
        <f t="shared" si="20"/>
        <v>0</v>
      </c>
      <c r="K129" s="53"/>
      <c r="L129" s="112"/>
      <c r="M129" s="53">
        <f t="shared" si="21"/>
        <v>0</v>
      </c>
      <c r="N129" s="112"/>
      <c r="O129" s="53">
        <f t="shared" si="22"/>
        <v>0</v>
      </c>
      <c r="P129" s="53">
        <f t="shared" si="23"/>
        <v>0</v>
      </c>
    </row>
    <row r="130" spans="2:16">
      <c r="B130" t="str">
        <f t="shared" si="19"/>
        <v/>
      </c>
      <c r="C130" s="49">
        <f>IF(D94="","-",+C129+1)</f>
        <v>2050</v>
      </c>
      <c r="D130" s="11">
        <f>IF(F129+SUM(E$100:E129)=D$93,F129,D$93-SUM(E$100:E129))</f>
        <v>18610.0752316906</v>
      </c>
      <c r="E130" s="377">
        <f t="shared" si="30"/>
        <v>18610.0752316906</v>
      </c>
      <c r="F130" s="54">
        <f t="shared" si="31"/>
        <v>0</v>
      </c>
      <c r="G130" s="54">
        <f t="shared" si="32"/>
        <v>9305.0376158453</v>
      </c>
      <c r="H130" s="459">
        <f t="shared" si="33"/>
        <v>19656.565920643097</v>
      </c>
      <c r="I130" s="446">
        <f t="shared" si="34"/>
        <v>19656.565920643097</v>
      </c>
      <c r="J130" s="53">
        <f t="shared" si="20"/>
        <v>0</v>
      </c>
      <c r="K130" s="53"/>
      <c r="L130" s="112"/>
      <c r="M130" s="53">
        <f t="shared" si="21"/>
        <v>0</v>
      </c>
      <c r="N130" s="112"/>
      <c r="O130" s="53">
        <f t="shared" si="22"/>
        <v>0</v>
      </c>
      <c r="P130" s="53">
        <f t="shared" si="23"/>
        <v>0</v>
      </c>
    </row>
    <row r="131" spans="2:16">
      <c r="B131" t="str">
        <f t="shared" si="19"/>
        <v/>
      </c>
      <c r="C131" s="49">
        <f>IF(D94="","-",+C130+1)</f>
        <v>2051</v>
      </c>
      <c r="D131" s="11">
        <f>IF(F130+SUM(E$100:E130)=D$93,F130,D$93-SUM(E$100:E130))</f>
        <v>0</v>
      </c>
      <c r="E131" s="377">
        <f t="shared" si="30"/>
        <v>0</v>
      </c>
      <c r="F131" s="54">
        <f t="shared" si="31"/>
        <v>0</v>
      </c>
      <c r="G131" s="54">
        <f t="shared" si="32"/>
        <v>0</v>
      </c>
      <c r="H131" s="459">
        <f t="shared" si="33"/>
        <v>0</v>
      </c>
      <c r="I131" s="446">
        <f t="shared" si="34"/>
        <v>0</v>
      </c>
      <c r="J131" s="53">
        <f t="shared" si="20"/>
        <v>0</v>
      </c>
      <c r="K131" s="53"/>
      <c r="L131" s="112"/>
      <c r="M131" s="53">
        <f t="shared" si="21"/>
        <v>0</v>
      </c>
      <c r="N131" s="112"/>
      <c r="O131" s="53">
        <f t="shared" si="22"/>
        <v>0</v>
      </c>
      <c r="P131" s="53">
        <f t="shared" si="23"/>
        <v>0</v>
      </c>
    </row>
    <row r="132" spans="2:16">
      <c r="B132" t="str">
        <f t="shared" si="19"/>
        <v/>
      </c>
      <c r="C132" s="49">
        <f>IF(D94="","-",+C131+1)</f>
        <v>2052</v>
      </c>
      <c r="D132" s="11">
        <f>IF(F131+SUM(E$100:E131)=D$93,F131,D$93-SUM(E$100:E131))</f>
        <v>0</v>
      </c>
      <c r="E132" s="377">
        <f t="shared" si="30"/>
        <v>0</v>
      </c>
      <c r="F132" s="54">
        <f t="shared" si="31"/>
        <v>0</v>
      </c>
      <c r="G132" s="54">
        <f t="shared" si="32"/>
        <v>0</v>
      </c>
      <c r="H132" s="459">
        <f t="shared" ref="H132:H155" si="35">(D132+F132)/2*J$95+E132</f>
        <v>0</v>
      </c>
      <c r="I132" s="446">
        <f t="shared" si="34"/>
        <v>0</v>
      </c>
      <c r="J132" s="53">
        <f t="shared" ref="J132:J155" si="36">+I542-H542</f>
        <v>0</v>
      </c>
      <c r="K132" s="53"/>
      <c r="L132" s="112"/>
      <c r="M132" s="53">
        <f t="shared" ref="M132:M155" si="37">IF(L542&lt;&gt;0,+H542-L542,0)</f>
        <v>0</v>
      </c>
      <c r="N132" s="112"/>
      <c r="O132" s="53">
        <f t="shared" ref="O132:O155" si="38">IF(N542&lt;&gt;0,+I542-N542,0)</f>
        <v>0</v>
      </c>
      <c r="P132" s="53">
        <f t="shared" ref="P132:P155" si="39">+O542-M542</f>
        <v>0</v>
      </c>
    </row>
    <row r="133" spans="2:16">
      <c r="B133" t="str">
        <f t="shared" si="19"/>
        <v/>
      </c>
      <c r="C133" s="49">
        <f>IF(D94="","-",+C132+1)</f>
        <v>2053</v>
      </c>
      <c r="D133" s="11">
        <f>IF(F132+SUM(E$100:E132)=D$93,F132,D$93-SUM(E$100:E132))</f>
        <v>0</v>
      </c>
      <c r="E133" s="377">
        <f t="shared" si="30"/>
        <v>0</v>
      </c>
      <c r="F133" s="54">
        <f t="shared" si="31"/>
        <v>0</v>
      </c>
      <c r="G133" s="54">
        <f t="shared" si="32"/>
        <v>0</v>
      </c>
      <c r="H133" s="459">
        <f t="shared" si="35"/>
        <v>0</v>
      </c>
      <c r="I133" s="446">
        <f t="shared" si="34"/>
        <v>0</v>
      </c>
      <c r="J133" s="53">
        <f t="shared" si="36"/>
        <v>0</v>
      </c>
      <c r="K133" s="53"/>
      <c r="L133" s="112"/>
      <c r="M133" s="53">
        <f t="shared" si="37"/>
        <v>0</v>
      </c>
      <c r="N133" s="112"/>
      <c r="O133" s="53">
        <f t="shared" si="38"/>
        <v>0</v>
      </c>
      <c r="P133" s="53">
        <f t="shared" si="39"/>
        <v>0</v>
      </c>
    </row>
    <row r="134" spans="2:16">
      <c r="B134" t="str">
        <f t="shared" si="19"/>
        <v/>
      </c>
      <c r="C134" s="49">
        <f>IF(D94="","-",+C133+1)</f>
        <v>2054</v>
      </c>
      <c r="D134" s="11">
        <f>IF(F133+SUM(E$100:E133)=D$93,F133,D$93-SUM(E$100:E133))</f>
        <v>0</v>
      </c>
      <c r="E134" s="377">
        <f t="shared" si="30"/>
        <v>0</v>
      </c>
      <c r="F134" s="54">
        <f t="shared" si="31"/>
        <v>0</v>
      </c>
      <c r="G134" s="54">
        <f t="shared" si="32"/>
        <v>0</v>
      </c>
      <c r="H134" s="459">
        <f t="shared" si="35"/>
        <v>0</v>
      </c>
      <c r="I134" s="446">
        <f t="shared" si="34"/>
        <v>0</v>
      </c>
      <c r="J134" s="53">
        <f t="shared" si="36"/>
        <v>0</v>
      </c>
      <c r="K134" s="53"/>
      <c r="L134" s="112"/>
      <c r="M134" s="53">
        <f t="shared" si="37"/>
        <v>0</v>
      </c>
      <c r="N134" s="112"/>
      <c r="O134" s="53">
        <f t="shared" si="38"/>
        <v>0</v>
      </c>
      <c r="P134" s="53">
        <f t="shared" si="39"/>
        <v>0</v>
      </c>
    </row>
    <row r="135" spans="2:16">
      <c r="B135" t="str">
        <f t="shared" si="19"/>
        <v/>
      </c>
      <c r="C135" s="49">
        <f>IF(D94="","-",+C134+1)</f>
        <v>2055</v>
      </c>
      <c r="D135" s="11">
        <f>IF(F134+SUM(E$100:E134)=D$93,F134,D$93-SUM(E$100:E134))</f>
        <v>0</v>
      </c>
      <c r="E135" s="377">
        <f t="shared" si="30"/>
        <v>0</v>
      </c>
      <c r="F135" s="54">
        <f t="shared" si="31"/>
        <v>0</v>
      </c>
      <c r="G135" s="54">
        <f t="shared" si="32"/>
        <v>0</v>
      </c>
      <c r="H135" s="459">
        <f t="shared" si="35"/>
        <v>0</v>
      </c>
      <c r="I135" s="446">
        <f t="shared" si="34"/>
        <v>0</v>
      </c>
      <c r="J135" s="53">
        <f t="shared" si="36"/>
        <v>0</v>
      </c>
      <c r="K135" s="53"/>
      <c r="L135" s="112"/>
      <c r="M135" s="53">
        <f t="shared" si="37"/>
        <v>0</v>
      </c>
      <c r="N135" s="112"/>
      <c r="O135" s="53">
        <f t="shared" si="38"/>
        <v>0</v>
      </c>
      <c r="P135" s="53">
        <f t="shared" si="39"/>
        <v>0</v>
      </c>
    </row>
    <row r="136" spans="2:16">
      <c r="B136" t="str">
        <f t="shared" si="19"/>
        <v/>
      </c>
      <c r="C136" s="49">
        <f>IF(D94="","-",+C135+1)</f>
        <v>2056</v>
      </c>
      <c r="D136" s="11">
        <f>IF(F135+SUM(E$100:E135)=D$93,F135,D$93-SUM(E$100:E135))</f>
        <v>0</v>
      </c>
      <c r="E136" s="377">
        <f t="shared" si="30"/>
        <v>0</v>
      </c>
      <c r="F136" s="54">
        <f t="shared" si="31"/>
        <v>0</v>
      </c>
      <c r="G136" s="54">
        <f t="shared" si="32"/>
        <v>0</v>
      </c>
      <c r="H136" s="459">
        <f t="shared" si="35"/>
        <v>0</v>
      </c>
      <c r="I136" s="446">
        <f t="shared" si="34"/>
        <v>0</v>
      </c>
      <c r="J136" s="53">
        <f t="shared" si="36"/>
        <v>0</v>
      </c>
      <c r="K136" s="53"/>
      <c r="L136" s="112"/>
      <c r="M136" s="53">
        <f t="shared" si="37"/>
        <v>0</v>
      </c>
      <c r="N136" s="112"/>
      <c r="O136" s="53">
        <f t="shared" si="38"/>
        <v>0</v>
      </c>
      <c r="P136" s="53">
        <f t="shared" si="39"/>
        <v>0</v>
      </c>
    </row>
    <row r="137" spans="2:16">
      <c r="B137" t="str">
        <f t="shared" si="19"/>
        <v/>
      </c>
      <c r="C137" s="49">
        <f>IF(D94="","-",+C136+1)</f>
        <v>2057</v>
      </c>
      <c r="D137" s="11">
        <f>IF(F136+SUM(E$100:E136)=D$93,F136,D$93-SUM(E$100:E136))</f>
        <v>0</v>
      </c>
      <c r="E137" s="377">
        <f t="shared" si="30"/>
        <v>0</v>
      </c>
      <c r="F137" s="54">
        <f t="shared" si="31"/>
        <v>0</v>
      </c>
      <c r="G137" s="54">
        <f t="shared" si="32"/>
        <v>0</v>
      </c>
      <c r="H137" s="459">
        <f t="shared" si="35"/>
        <v>0</v>
      </c>
      <c r="I137" s="446">
        <f t="shared" si="34"/>
        <v>0</v>
      </c>
      <c r="J137" s="53">
        <f t="shared" si="36"/>
        <v>0</v>
      </c>
      <c r="K137" s="53"/>
      <c r="L137" s="112"/>
      <c r="M137" s="53">
        <f t="shared" si="37"/>
        <v>0</v>
      </c>
      <c r="N137" s="112"/>
      <c r="O137" s="53">
        <f t="shared" si="38"/>
        <v>0</v>
      </c>
      <c r="P137" s="53">
        <f t="shared" si="39"/>
        <v>0</v>
      </c>
    </row>
    <row r="138" spans="2:16">
      <c r="B138" t="str">
        <f t="shared" si="19"/>
        <v/>
      </c>
      <c r="C138" s="49">
        <f>IF(D94="","-",+C137+1)</f>
        <v>2058</v>
      </c>
      <c r="D138" s="11">
        <f>IF(F137+SUM(E$100:E137)=D$93,F137,D$93-SUM(E$100:E137))</f>
        <v>0</v>
      </c>
      <c r="E138" s="377">
        <f t="shared" si="30"/>
        <v>0</v>
      </c>
      <c r="F138" s="54">
        <f t="shared" si="31"/>
        <v>0</v>
      </c>
      <c r="G138" s="54">
        <f t="shared" si="32"/>
        <v>0</v>
      </c>
      <c r="H138" s="459">
        <f t="shared" si="35"/>
        <v>0</v>
      </c>
      <c r="I138" s="446">
        <f t="shared" si="34"/>
        <v>0</v>
      </c>
      <c r="J138" s="53">
        <f t="shared" si="36"/>
        <v>0</v>
      </c>
      <c r="K138" s="53"/>
      <c r="L138" s="112"/>
      <c r="M138" s="53">
        <f t="shared" si="37"/>
        <v>0</v>
      </c>
      <c r="N138" s="112"/>
      <c r="O138" s="53">
        <f t="shared" si="38"/>
        <v>0</v>
      </c>
      <c r="P138" s="53">
        <f t="shared" si="39"/>
        <v>0</v>
      </c>
    </row>
    <row r="139" spans="2:16">
      <c r="B139" t="str">
        <f t="shared" si="19"/>
        <v/>
      </c>
      <c r="C139" s="49">
        <f>IF(D94="","-",+C138+1)</f>
        <v>2059</v>
      </c>
      <c r="D139" s="11">
        <f>IF(F138+SUM(E$100:E138)=D$93,F138,D$93-SUM(E$100:E138))</f>
        <v>0</v>
      </c>
      <c r="E139" s="377">
        <f t="shared" si="30"/>
        <v>0</v>
      </c>
      <c r="F139" s="54">
        <f t="shared" si="31"/>
        <v>0</v>
      </c>
      <c r="G139" s="54">
        <f t="shared" si="32"/>
        <v>0</v>
      </c>
      <c r="H139" s="459">
        <f t="shared" si="35"/>
        <v>0</v>
      </c>
      <c r="I139" s="446">
        <f t="shared" si="34"/>
        <v>0</v>
      </c>
      <c r="J139" s="53">
        <f t="shared" si="36"/>
        <v>0</v>
      </c>
      <c r="K139" s="53"/>
      <c r="L139" s="112"/>
      <c r="M139" s="53">
        <f t="shared" si="37"/>
        <v>0</v>
      </c>
      <c r="N139" s="112"/>
      <c r="O139" s="53">
        <f t="shared" si="38"/>
        <v>0</v>
      </c>
      <c r="P139" s="53">
        <f t="shared" si="39"/>
        <v>0</v>
      </c>
    </row>
    <row r="140" spans="2:16">
      <c r="B140" t="str">
        <f t="shared" si="19"/>
        <v/>
      </c>
      <c r="C140" s="49">
        <f>IF(D94="","-",+C139+1)</f>
        <v>2060</v>
      </c>
      <c r="D140" s="11">
        <f>IF(F139+SUM(E$100:E139)=D$93,F139,D$93-SUM(E$100:E139))</f>
        <v>0</v>
      </c>
      <c r="E140" s="377">
        <f t="shared" si="30"/>
        <v>0</v>
      </c>
      <c r="F140" s="54">
        <f t="shared" si="31"/>
        <v>0</v>
      </c>
      <c r="G140" s="54">
        <f t="shared" si="32"/>
        <v>0</v>
      </c>
      <c r="H140" s="459">
        <f t="shared" si="35"/>
        <v>0</v>
      </c>
      <c r="I140" s="446">
        <f t="shared" si="34"/>
        <v>0</v>
      </c>
      <c r="J140" s="53">
        <f t="shared" si="36"/>
        <v>0</v>
      </c>
      <c r="K140" s="53"/>
      <c r="L140" s="112"/>
      <c r="M140" s="53">
        <f t="shared" si="37"/>
        <v>0</v>
      </c>
      <c r="N140" s="112"/>
      <c r="O140" s="53">
        <f t="shared" si="38"/>
        <v>0</v>
      </c>
      <c r="P140" s="53">
        <f t="shared" si="39"/>
        <v>0</v>
      </c>
    </row>
    <row r="141" spans="2:16">
      <c r="B141" t="str">
        <f t="shared" si="19"/>
        <v/>
      </c>
      <c r="C141" s="49">
        <f>IF(D94="","-",+C140+1)</f>
        <v>2061</v>
      </c>
      <c r="D141" s="11">
        <f>IF(F140+SUM(E$100:E140)=D$93,F140,D$93-SUM(E$100:E140))</f>
        <v>0</v>
      </c>
      <c r="E141" s="377">
        <f t="shared" si="30"/>
        <v>0</v>
      </c>
      <c r="F141" s="54">
        <f t="shared" si="31"/>
        <v>0</v>
      </c>
      <c r="G141" s="54">
        <f t="shared" si="32"/>
        <v>0</v>
      </c>
      <c r="H141" s="459">
        <f t="shared" si="35"/>
        <v>0</v>
      </c>
      <c r="I141" s="446">
        <f t="shared" si="34"/>
        <v>0</v>
      </c>
      <c r="J141" s="53">
        <f t="shared" si="36"/>
        <v>0</v>
      </c>
      <c r="K141" s="53"/>
      <c r="L141" s="112"/>
      <c r="M141" s="53">
        <f t="shared" si="37"/>
        <v>0</v>
      </c>
      <c r="N141" s="112"/>
      <c r="O141" s="53">
        <f t="shared" si="38"/>
        <v>0</v>
      </c>
      <c r="P141" s="53">
        <f t="shared" si="39"/>
        <v>0</v>
      </c>
    </row>
    <row r="142" spans="2:16">
      <c r="B142" t="str">
        <f t="shared" si="19"/>
        <v/>
      </c>
      <c r="C142" s="49">
        <f>IF(D94="","-",+C141+1)</f>
        <v>2062</v>
      </c>
      <c r="D142" s="11">
        <f>IF(F141+SUM(E$100:E141)=D$93,F141,D$93-SUM(E$100:E141))</f>
        <v>0</v>
      </c>
      <c r="E142" s="377">
        <f t="shared" si="30"/>
        <v>0</v>
      </c>
      <c r="F142" s="54">
        <f t="shared" si="31"/>
        <v>0</v>
      </c>
      <c r="G142" s="54">
        <f t="shared" si="32"/>
        <v>0</v>
      </c>
      <c r="H142" s="459">
        <f t="shared" si="35"/>
        <v>0</v>
      </c>
      <c r="I142" s="446">
        <f t="shared" si="34"/>
        <v>0</v>
      </c>
      <c r="J142" s="53">
        <f t="shared" si="36"/>
        <v>0</v>
      </c>
      <c r="K142" s="53"/>
      <c r="L142" s="112"/>
      <c r="M142" s="53">
        <f t="shared" si="37"/>
        <v>0</v>
      </c>
      <c r="N142" s="112"/>
      <c r="O142" s="53">
        <f t="shared" si="38"/>
        <v>0</v>
      </c>
      <c r="P142" s="53">
        <f t="shared" si="39"/>
        <v>0</v>
      </c>
    </row>
    <row r="143" spans="2:16">
      <c r="B143" t="str">
        <f t="shared" si="19"/>
        <v/>
      </c>
      <c r="C143" s="49">
        <f>IF(D94="","-",+C142+1)</f>
        <v>2063</v>
      </c>
      <c r="D143" s="11">
        <f>IF(F142+SUM(E$100:E142)=D$93,F142,D$93-SUM(E$100:E142))</f>
        <v>0</v>
      </c>
      <c r="E143" s="377">
        <f t="shared" si="30"/>
        <v>0</v>
      </c>
      <c r="F143" s="54">
        <f t="shared" si="31"/>
        <v>0</v>
      </c>
      <c r="G143" s="54">
        <f t="shared" si="32"/>
        <v>0</v>
      </c>
      <c r="H143" s="459">
        <f t="shared" si="35"/>
        <v>0</v>
      </c>
      <c r="I143" s="446">
        <f t="shared" si="34"/>
        <v>0</v>
      </c>
      <c r="J143" s="53">
        <f t="shared" si="36"/>
        <v>0</v>
      </c>
      <c r="K143" s="53"/>
      <c r="L143" s="112"/>
      <c r="M143" s="53">
        <f t="shared" si="37"/>
        <v>0</v>
      </c>
      <c r="N143" s="112"/>
      <c r="O143" s="53">
        <f t="shared" si="38"/>
        <v>0</v>
      </c>
      <c r="P143" s="53">
        <f t="shared" si="39"/>
        <v>0</v>
      </c>
    </row>
    <row r="144" spans="2:16">
      <c r="B144" t="str">
        <f t="shared" si="19"/>
        <v/>
      </c>
      <c r="C144" s="49">
        <f>IF(D94="","-",+C143+1)</f>
        <v>2064</v>
      </c>
      <c r="D144" s="11">
        <f>IF(F143+SUM(E$100:E143)=D$93,F143,D$93-SUM(E$100:E143))</f>
        <v>0</v>
      </c>
      <c r="E144" s="377">
        <f t="shared" si="30"/>
        <v>0</v>
      </c>
      <c r="F144" s="54">
        <f t="shared" si="31"/>
        <v>0</v>
      </c>
      <c r="G144" s="54">
        <f t="shared" si="32"/>
        <v>0</v>
      </c>
      <c r="H144" s="459">
        <f t="shared" si="35"/>
        <v>0</v>
      </c>
      <c r="I144" s="446">
        <f t="shared" si="34"/>
        <v>0</v>
      </c>
      <c r="J144" s="53">
        <f t="shared" si="36"/>
        <v>0</v>
      </c>
      <c r="K144" s="53"/>
      <c r="L144" s="112"/>
      <c r="M144" s="53">
        <f t="shared" si="37"/>
        <v>0</v>
      </c>
      <c r="N144" s="112"/>
      <c r="O144" s="53">
        <f t="shared" si="38"/>
        <v>0</v>
      </c>
      <c r="P144" s="53">
        <f t="shared" si="39"/>
        <v>0</v>
      </c>
    </row>
    <row r="145" spans="2:16">
      <c r="B145" t="str">
        <f t="shared" si="19"/>
        <v/>
      </c>
      <c r="C145" s="49">
        <f>IF(D94="","-",+C144+1)</f>
        <v>2065</v>
      </c>
      <c r="D145" s="11">
        <f>IF(F144+SUM(E$100:E144)=D$93,F144,D$93-SUM(E$100:E144))</f>
        <v>0</v>
      </c>
      <c r="E145" s="377">
        <f t="shared" si="30"/>
        <v>0</v>
      </c>
      <c r="F145" s="54">
        <f t="shared" si="31"/>
        <v>0</v>
      </c>
      <c r="G145" s="54">
        <f t="shared" si="32"/>
        <v>0</v>
      </c>
      <c r="H145" s="459">
        <f t="shared" si="35"/>
        <v>0</v>
      </c>
      <c r="I145" s="446">
        <f t="shared" si="34"/>
        <v>0</v>
      </c>
      <c r="J145" s="53">
        <f t="shared" si="36"/>
        <v>0</v>
      </c>
      <c r="K145" s="53"/>
      <c r="L145" s="112"/>
      <c r="M145" s="53">
        <f t="shared" si="37"/>
        <v>0</v>
      </c>
      <c r="N145" s="112"/>
      <c r="O145" s="53">
        <f t="shared" si="38"/>
        <v>0</v>
      </c>
      <c r="P145" s="53">
        <f t="shared" si="39"/>
        <v>0</v>
      </c>
    </row>
    <row r="146" spans="2:16">
      <c r="B146" t="str">
        <f t="shared" si="19"/>
        <v/>
      </c>
      <c r="C146" s="49">
        <f>IF(D94="","-",+C145+1)</f>
        <v>2066</v>
      </c>
      <c r="D146" s="11">
        <f>IF(F145+SUM(E$100:E145)=D$93,F145,D$93-SUM(E$100:E145))</f>
        <v>0</v>
      </c>
      <c r="E146" s="377">
        <f t="shared" si="30"/>
        <v>0</v>
      </c>
      <c r="F146" s="54">
        <f t="shared" si="31"/>
        <v>0</v>
      </c>
      <c r="G146" s="54">
        <f t="shared" si="32"/>
        <v>0</v>
      </c>
      <c r="H146" s="459">
        <f t="shared" si="35"/>
        <v>0</v>
      </c>
      <c r="I146" s="446">
        <f t="shared" si="34"/>
        <v>0</v>
      </c>
      <c r="J146" s="53">
        <f t="shared" si="36"/>
        <v>0</v>
      </c>
      <c r="K146" s="53"/>
      <c r="L146" s="112"/>
      <c r="M146" s="53">
        <f t="shared" si="37"/>
        <v>0</v>
      </c>
      <c r="N146" s="112"/>
      <c r="O146" s="53">
        <f t="shared" si="38"/>
        <v>0</v>
      </c>
      <c r="P146" s="53">
        <f t="shared" si="39"/>
        <v>0</v>
      </c>
    </row>
    <row r="147" spans="2:16">
      <c r="B147" t="str">
        <f t="shared" si="19"/>
        <v/>
      </c>
      <c r="C147" s="49">
        <f>IF(D94="","-",+C146+1)</f>
        <v>2067</v>
      </c>
      <c r="D147" s="11">
        <f>IF(F146+SUM(E$100:E146)=D$93,F146,D$93-SUM(E$100:E146))</f>
        <v>0</v>
      </c>
      <c r="E147" s="377">
        <f t="shared" si="30"/>
        <v>0</v>
      </c>
      <c r="F147" s="54">
        <f t="shared" si="31"/>
        <v>0</v>
      </c>
      <c r="G147" s="54">
        <f t="shared" si="32"/>
        <v>0</v>
      </c>
      <c r="H147" s="459">
        <f t="shared" si="35"/>
        <v>0</v>
      </c>
      <c r="I147" s="446">
        <f t="shared" si="34"/>
        <v>0</v>
      </c>
      <c r="J147" s="53">
        <f t="shared" si="36"/>
        <v>0</v>
      </c>
      <c r="K147" s="53"/>
      <c r="L147" s="112"/>
      <c r="M147" s="53">
        <f t="shared" si="37"/>
        <v>0</v>
      </c>
      <c r="N147" s="112"/>
      <c r="O147" s="53">
        <f t="shared" si="38"/>
        <v>0</v>
      </c>
      <c r="P147" s="53">
        <f t="shared" si="39"/>
        <v>0</v>
      </c>
    </row>
    <row r="148" spans="2:16">
      <c r="B148" t="str">
        <f t="shared" si="19"/>
        <v/>
      </c>
      <c r="C148" s="49">
        <f>IF(D94="","-",+C147+1)</f>
        <v>2068</v>
      </c>
      <c r="D148" s="11">
        <f>IF(F147+SUM(E$100:E147)=D$93,F147,D$93-SUM(E$100:E147))</f>
        <v>0</v>
      </c>
      <c r="E148" s="377">
        <f t="shared" si="30"/>
        <v>0</v>
      </c>
      <c r="F148" s="54">
        <f t="shared" si="31"/>
        <v>0</v>
      </c>
      <c r="G148" s="54">
        <f t="shared" si="32"/>
        <v>0</v>
      </c>
      <c r="H148" s="459">
        <f t="shared" si="35"/>
        <v>0</v>
      </c>
      <c r="I148" s="446">
        <f t="shared" si="34"/>
        <v>0</v>
      </c>
      <c r="J148" s="53">
        <f t="shared" si="36"/>
        <v>0</v>
      </c>
      <c r="K148" s="53"/>
      <c r="L148" s="112"/>
      <c r="M148" s="53">
        <f t="shared" si="37"/>
        <v>0</v>
      </c>
      <c r="N148" s="112"/>
      <c r="O148" s="53">
        <f t="shared" si="38"/>
        <v>0</v>
      </c>
      <c r="P148" s="53">
        <f t="shared" si="39"/>
        <v>0</v>
      </c>
    </row>
    <row r="149" spans="2:16">
      <c r="B149" t="str">
        <f t="shared" si="19"/>
        <v/>
      </c>
      <c r="C149" s="49">
        <f>IF(D94="","-",+C148+1)</f>
        <v>2069</v>
      </c>
      <c r="D149" s="11">
        <f>IF(F148+SUM(E$100:E148)=D$93,F148,D$93-SUM(E$100:E148))</f>
        <v>0</v>
      </c>
      <c r="E149" s="377">
        <f t="shared" si="30"/>
        <v>0</v>
      </c>
      <c r="F149" s="54">
        <f t="shared" si="31"/>
        <v>0</v>
      </c>
      <c r="G149" s="54">
        <f t="shared" si="32"/>
        <v>0</v>
      </c>
      <c r="H149" s="459">
        <f t="shared" si="35"/>
        <v>0</v>
      </c>
      <c r="I149" s="446">
        <f t="shared" si="34"/>
        <v>0</v>
      </c>
      <c r="J149" s="53">
        <f t="shared" si="36"/>
        <v>0</v>
      </c>
      <c r="K149" s="53"/>
      <c r="L149" s="112"/>
      <c r="M149" s="53">
        <f t="shared" si="37"/>
        <v>0</v>
      </c>
      <c r="N149" s="112"/>
      <c r="O149" s="53">
        <f t="shared" si="38"/>
        <v>0</v>
      </c>
      <c r="P149" s="53">
        <f t="shared" si="39"/>
        <v>0</v>
      </c>
    </row>
    <row r="150" spans="2:16">
      <c r="B150" t="str">
        <f t="shared" si="19"/>
        <v/>
      </c>
      <c r="C150" s="49">
        <f>IF(D94="","-",+C149+1)</f>
        <v>2070</v>
      </c>
      <c r="D150" s="11">
        <f>IF(F149+SUM(E$100:E149)=D$93,F149,D$93-SUM(E$100:E149))</f>
        <v>0</v>
      </c>
      <c r="E150" s="377">
        <f t="shared" si="30"/>
        <v>0</v>
      </c>
      <c r="F150" s="54">
        <f t="shared" si="31"/>
        <v>0</v>
      </c>
      <c r="G150" s="54">
        <f t="shared" si="32"/>
        <v>0</v>
      </c>
      <c r="H150" s="459">
        <f t="shared" si="35"/>
        <v>0</v>
      </c>
      <c r="I150" s="446">
        <f t="shared" si="34"/>
        <v>0</v>
      </c>
      <c r="J150" s="53">
        <f t="shared" si="36"/>
        <v>0</v>
      </c>
      <c r="K150" s="53"/>
      <c r="L150" s="112"/>
      <c r="M150" s="53">
        <f t="shared" si="37"/>
        <v>0</v>
      </c>
      <c r="N150" s="112"/>
      <c r="O150" s="53">
        <f t="shared" si="38"/>
        <v>0</v>
      </c>
      <c r="P150" s="53">
        <f t="shared" si="39"/>
        <v>0</v>
      </c>
    </row>
    <row r="151" spans="2:16">
      <c r="B151" t="str">
        <f t="shared" si="19"/>
        <v/>
      </c>
      <c r="C151" s="49">
        <f>IF(D94="","-",+C150+1)</f>
        <v>2071</v>
      </c>
      <c r="D151" s="11">
        <f>IF(F150+SUM(E$100:E150)=D$93,F150,D$93-SUM(E$100:E150))</f>
        <v>0</v>
      </c>
      <c r="E151" s="377">
        <f t="shared" si="30"/>
        <v>0</v>
      </c>
      <c r="F151" s="54">
        <f t="shared" si="31"/>
        <v>0</v>
      </c>
      <c r="G151" s="54">
        <f t="shared" si="32"/>
        <v>0</v>
      </c>
      <c r="H151" s="459">
        <f t="shared" si="35"/>
        <v>0</v>
      </c>
      <c r="I151" s="446">
        <f t="shared" si="34"/>
        <v>0</v>
      </c>
      <c r="J151" s="53">
        <f t="shared" si="36"/>
        <v>0</v>
      </c>
      <c r="K151" s="53"/>
      <c r="L151" s="112"/>
      <c r="M151" s="53">
        <f t="shared" si="37"/>
        <v>0</v>
      </c>
      <c r="N151" s="112"/>
      <c r="O151" s="53">
        <f t="shared" si="38"/>
        <v>0</v>
      </c>
      <c r="P151" s="53">
        <f t="shared" si="39"/>
        <v>0</v>
      </c>
    </row>
    <row r="152" spans="2:16">
      <c r="B152" t="str">
        <f t="shared" si="19"/>
        <v/>
      </c>
      <c r="C152" s="49">
        <f>IF(D94="","-",+C151+1)</f>
        <v>2072</v>
      </c>
      <c r="D152" s="11">
        <f>IF(F151+SUM(E$100:E151)=D$93,F151,D$93-SUM(E$100:E151))</f>
        <v>0</v>
      </c>
      <c r="E152" s="377">
        <f t="shared" si="30"/>
        <v>0</v>
      </c>
      <c r="F152" s="54">
        <f t="shared" si="31"/>
        <v>0</v>
      </c>
      <c r="G152" s="54">
        <f t="shared" si="32"/>
        <v>0</v>
      </c>
      <c r="H152" s="459">
        <f t="shared" si="35"/>
        <v>0</v>
      </c>
      <c r="I152" s="446">
        <f t="shared" si="34"/>
        <v>0</v>
      </c>
      <c r="J152" s="53">
        <f t="shared" si="36"/>
        <v>0</v>
      </c>
      <c r="K152" s="53"/>
      <c r="L152" s="112"/>
      <c r="M152" s="53">
        <f t="shared" si="37"/>
        <v>0</v>
      </c>
      <c r="N152" s="112"/>
      <c r="O152" s="53">
        <f t="shared" si="38"/>
        <v>0</v>
      </c>
      <c r="P152" s="53">
        <f t="shared" si="39"/>
        <v>0</v>
      </c>
    </row>
    <row r="153" spans="2:16">
      <c r="B153" t="str">
        <f t="shared" si="19"/>
        <v/>
      </c>
      <c r="C153" s="49">
        <f>IF(D94="","-",+C152+1)</f>
        <v>2073</v>
      </c>
      <c r="D153" s="11">
        <f>IF(F152+SUM(E$100:E152)=D$93,F152,D$93-SUM(E$100:E152))</f>
        <v>0</v>
      </c>
      <c r="E153" s="377">
        <f t="shared" si="30"/>
        <v>0</v>
      </c>
      <c r="F153" s="54">
        <f t="shared" si="31"/>
        <v>0</v>
      </c>
      <c r="G153" s="54">
        <f t="shared" si="32"/>
        <v>0</v>
      </c>
      <c r="H153" s="459">
        <f t="shared" si="35"/>
        <v>0</v>
      </c>
      <c r="I153" s="446">
        <f t="shared" si="34"/>
        <v>0</v>
      </c>
      <c r="J153" s="53">
        <f t="shared" si="36"/>
        <v>0</v>
      </c>
      <c r="K153" s="53"/>
      <c r="L153" s="112"/>
      <c r="M153" s="53">
        <f t="shared" si="37"/>
        <v>0</v>
      </c>
      <c r="N153" s="112"/>
      <c r="O153" s="53">
        <f t="shared" si="38"/>
        <v>0</v>
      </c>
      <c r="P153" s="53">
        <f t="shared" si="39"/>
        <v>0</v>
      </c>
    </row>
    <row r="154" spans="2:16">
      <c r="B154" t="str">
        <f t="shared" si="19"/>
        <v/>
      </c>
      <c r="C154" s="49">
        <f>IF(D94="","-",+C153+1)</f>
        <v>2074</v>
      </c>
      <c r="D154" s="11">
        <f>IF(F153+SUM(E$100:E153)=D$93,F153,D$93-SUM(E$100:E153))</f>
        <v>0</v>
      </c>
      <c r="E154" s="377">
        <f t="shared" si="30"/>
        <v>0</v>
      </c>
      <c r="F154" s="54">
        <f t="shared" si="31"/>
        <v>0</v>
      </c>
      <c r="G154" s="54">
        <f t="shared" si="32"/>
        <v>0</v>
      </c>
      <c r="H154" s="459">
        <f t="shared" si="35"/>
        <v>0</v>
      </c>
      <c r="I154" s="446">
        <f t="shared" si="34"/>
        <v>0</v>
      </c>
      <c r="J154" s="53">
        <f t="shared" si="36"/>
        <v>0</v>
      </c>
      <c r="K154" s="53"/>
      <c r="L154" s="112"/>
      <c r="M154" s="53">
        <f t="shared" si="37"/>
        <v>0</v>
      </c>
      <c r="N154" s="112"/>
      <c r="O154" s="53">
        <f t="shared" si="38"/>
        <v>0</v>
      </c>
      <c r="P154" s="53">
        <f t="shared" si="39"/>
        <v>0</v>
      </c>
    </row>
    <row r="155" spans="2:16" ht="13.5" thickBot="1">
      <c r="B155" t="str">
        <f t="shared" si="19"/>
        <v/>
      </c>
      <c r="C155" s="58">
        <f>IF(D94="","-",+C154+1)</f>
        <v>2075</v>
      </c>
      <c r="D155" s="82">
        <f>IF(F154+SUM(E$100:E154)=D$93,F154,D$93-SUM(E$100:E154))</f>
        <v>0</v>
      </c>
      <c r="E155" s="389">
        <f t="shared" si="30"/>
        <v>0</v>
      </c>
      <c r="F155" s="59">
        <f t="shared" si="31"/>
        <v>0</v>
      </c>
      <c r="G155" s="59">
        <f t="shared" si="32"/>
        <v>0</v>
      </c>
      <c r="H155" s="459">
        <f t="shared" si="35"/>
        <v>0</v>
      </c>
      <c r="I155" s="443">
        <f t="shared" si="34"/>
        <v>0</v>
      </c>
      <c r="J155" s="63">
        <f t="shared" si="36"/>
        <v>0</v>
      </c>
      <c r="K155" s="53"/>
      <c r="L155" s="113"/>
      <c r="M155" s="63">
        <f t="shared" si="37"/>
        <v>0</v>
      </c>
      <c r="N155" s="113"/>
      <c r="O155" s="63">
        <f t="shared" si="38"/>
        <v>0</v>
      </c>
      <c r="P155" s="63">
        <f t="shared" si="39"/>
        <v>0</v>
      </c>
    </row>
    <row r="156" spans="2:16">
      <c r="C156" s="11" t="s">
        <v>75</v>
      </c>
      <c r="D156" s="242"/>
      <c r="E156" s="242">
        <f>SUM(E100:E155)</f>
        <v>3730181.7299999995</v>
      </c>
      <c r="F156" s="242"/>
      <c r="G156" s="242"/>
      <c r="H156" s="242">
        <f>SUM(H100:H155)</f>
        <v>9554196.9014053866</v>
      </c>
      <c r="I156" s="242">
        <f>SUM(I100:I155)</f>
        <v>9554196.9014053866</v>
      </c>
      <c r="J156" s="242">
        <f>SUM(J100:J155)</f>
        <v>0</v>
      </c>
      <c r="K156" s="242"/>
      <c r="L156" s="242"/>
      <c r="M156" s="242"/>
      <c r="N156" s="242"/>
      <c r="O156" s="242"/>
      <c r="P156" s="1"/>
    </row>
    <row r="157" spans="2:16">
      <c r="C157" t="s">
        <v>90</v>
      </c>
      <c r="D157" s="2"/>
      <c r="E157" s="1"/>
      <c r="F157" s="1"/>
      <c r="G157" s="1"/>
      <c r="H157" s="1"/>
      <c r="I157" s="260"/>
      <c r="J157" s="260"/>
      <c r="K157" s="242"/>
      <c r="L157" s="260"/>
      <c r="M157" s="260"/>
      <c r="N157" s="260"/>
      <c r="O157" s="260"/>
      <c r="P157" s="1"/>
    </row>
    <row r="158" spans="2:16">
      <c r="C158" s="83"/>
      <c r="D158" s="2"/>
      <c r="E158" s="1"/>
      <c r="F158" s="1"/>
      <c r="G158" s="1"/>
      <c r="H158" s="1"/>
      <c r="I158" s="260"/>
      <c r="J158" s="260"/>
      <c r="K158" s="242"/>
      <c r="L158" s="260"/>
      <c r="M158" s="260"/>
      <c r="N158" s="260"/>
      <c r="O158" s="260"/>
      <c r="P158" s="1"/>
    </row>
    <row r="159" spans="2:16">
      <c r="C159" s="97" t="s">
        <v>130</v>
      </c>
      <c r="D159" s="2"/>
      <c r="E159" s="1"/>
      <c r="F159" s="1"/>
      <c r="G159" s="1"/>
      <c r="H159" s="1"/>
      <c r="I159" s="260"/>
      <c r="J159" s="260"/>
      <c r="K159" s="242"/>
      <c r="L159" s="260"/>
      <c r="M159" s="260"/>
      <c r="N159" s="260"/>
      <c r="O159" s="260"/>
      <c r="P159" s="1"/>
    </row>
    <row r="160" spans="2:16">
      <c r="C160" s="25" t="s">
        <v>76</v>
      </c>
      <c r="D160" s="11"/>
      <c r="E160" s="11"/>
      <c r="F160" s="11"/>
      <c r="G160" s="11"/>
      <c r="H160" s="242"/>
      <c r="I160" s="242"/>
      <c r="J160" s="64"/>
      <c r="K160" s="64"/>
      <c r="L160" s="64"/>
      <c r="M160" s="64"/>
      <c r="N160" s="64"/>
      <c r="O160" s="64"/>
      <c r="P160" s="1"/>
    </row>
    <row r="161" spans="3:16">
      <c r="C161" s="84" t="s">
        <v>77</v>
      </c>
      <c r="D161" s="11"/>
      <c r="E161" s="11"/>
      <c r="F161" s="11"/>
      <c r="G161" s="11"/>
      <c r="H161" s="242"/>
      <c r="I161" s="242"/>
      <c r="J161" s="64"/>
      <c r="K161" s="64"/>
      <c r="L161" s="64"/>
      <c r="M161" s="64"/>
      <c r="N161" s="64"/>
      <c r="O161" s="64"/>
      <c r="P161" s="1"/>
    </row>
    <row r="162" spans="3:16">
      <c r="C162" s="84"/>
      <c r="D162" s="11"/>
      <c r="E162" s="11"/>
      <c r="F162" s="11"/>
      <c r="G162" s="11"/>
      <c r="H162" s="242"/>
      <c r="I162" s="242"/>
      <c r="J162" s="64"/>
      <c r="K162" s="64"/>
      <c r="L162" s="64"/>
      <c r="M162" s="64"/>
      <c r="N162" s="64"/>
      <c r="O162" s="64"/>
      <c r="P162" s="1"/>
    </row>
    <row r="163" spans="3:16" ht="18">
      <c r="C163" s="84"/>
      <c r="D163" s="11"/>
      <c r="E163" s="11"/>
      <c r="F163" s="11"/>
      <c r="G163" s="11"/>
      <c r="H163" s="242"/>
      <c r="I163" s="242"/>
      <c r="J163" s="64"/>
      <c r="K163" s="64"/>
      <c r="L163" s="64"/>
      <c r="M163" s="64"/>
      <c r="N163" s="64"/>
      <c r="P163" s="95" t="s">
        <v>129</v>
      </c>
    </row>
  </sheetData>
  <conditionalFormatting sqref="C17:C73">
    <cfRule type="cellIs" dxfId="15" priority="1" stopIfTrue="1" operator="equal">
      <formula>$I$10</formula>
    </cfRule>
  </conditionalFormatting>
  <conditionalFormatting sqref="C100:C155">
    <cfRule type="cellIs" dxfId="14" priority="3" stopIfTrue="1" operator="equal">
      <formula>$J$93</formula>
    </cfRule>
  </conditionalFormatting>
  <pageMargins left="0.5" right="0.25" top="1" bottom="0.35" header="0.25" footer="0.5"/>
  <pageSetup scale="47" orientation="landscape"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FECCD-838B-4050-93A9-F02370E8505A}">
  <dimension ref="A1:P163"/>
  <sheetViews>
    <sheetView topLeftCell="B10" zoomScale="80" zoomScaleNormal="80" workbookViewId="0">
      <selection activeCell="D10" sqref="D10"/>
    </sheetView>
  </sheetViews>
  <sheetFormatPr defaultRowHeight="12.75"/>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s>
  <sheetData>
    <row r="1" spans="1:16" ht="20.25">
      <c r="A1" s="93" t="s">
        <v>189</v>
      </c>
      <c r="B1" s="465"/>
      <c r="C1" s="465"/>
      <c r="D1" s="466"/>
      <c r="E1" s="465"/>
      <c r="F1" s="280"/>
      <c r="G1" s="465"/>
      <c r="H1" s="467"/>
      <c r="K1" s="12"/>
      <c r="L1" s="12"/>
      <c r="M1" s="12"/>
      <c r="P1" s="98" t="str">
        <f ca="1">"OKT Project "&amp;RIGHT(MID(CELL("filename",$A$1),FIND("]",CELL("filename",$A$1))+1,256),2)&amp;" of "&amp;COUNT('OKT.001:OKT.xyz - blank'!$P$3)-1</f>
        <v>OKT Project 21 of 26</v>
      </c>
    </row>
    <row r="2" spans="1:16" ht="18">
      <c r="B2" s="465"/>
      <c r="C2" s="465"/>
      <c r="D2" s="466"/>
      <c r="E2" s="465"/>
      <c r="F2" s="465"/>
      <c r="G2" s="465"/>
      <c r="H2" s="467"/>
      <c r="I2" s="465"/>
      <c r="J2" s="465"/>
      <c r="K2" s="465"/>
      <c r="L2" s="465"/>
      <c r="M2" s="465"/>
      <c r="N2" s="465"/>
      <c r="P2" s="99" t="s">
        <v>131</v>
      </c>
    </row>
    <row r="3" spans="1:16" ht="18.75">
      <c r="B3" s="4" t="s">
        <v>42</v>
      </c>
      <c r="C3" s="9" t="s">
        <v>43</v>
      </c>
      <c r="D3" s="466"/>
      <c r="E3" s="465"/>
      <c r="F3" s="465"/>
      <c r="G3" s="465"/>
      <c r="H3" s="467"/>
      <c r="I3" s="467"/>
      <c r="J3" s="468"/>
      <c r="K3" s="467"/>
      <c r="L3" s="467"/>
      <c r="M3" s="467"/>
      <c r="N3" s="467"/>
      <c r="O3" s="465"/>
      <c r="P3" s="91">
        <v>1</v>
      </c>
    </row>
    <row r="4" spans="1:16" ht="15.75" thickBot="1">
      <c r="C4" s="8"/>
      <c r="D4" s="466"/>
      <c r="E4" s="465"/>
      <c r="F4" s="465"/>
      <c r="G4" s="465"/>
      <c r="H4" s="467"/>
      <c r="I4" s="467"/>
      <c r="J4" s="468"/>
      <c r="K4" s="467"/>
      <c r="L4" s="467"/>
      <c r="M4" s="467"/>
      <c r="N4" s="467"/>
      <c r="O4" s="465"/>
      <c r="P4" s="465"/>
    </row>
    <row r="5" spans="1:16" ht="15">
      <c r="C5" s="14" t="s">
        <v>44</v>
      </c>
      <c r="D5" s="466"/>
      <c r="E5" s="465"/>
      <c r="F5" s="465"/>
      <c r="G5" s="15"/>
      <c r="H5" s="465" t="s">
        <v>45</v>
      </c>
      <c r="I5" s="465"/>
      <c r="J5" s="465"/>
      <c r="K5" s="16" t="s">
        <v>242</v>
      </c>
      <c r="L5" s="17"/>
      <c r="M5" s="469"/>
      <c r="N5" s="19">
        <f>VLOOKUP(I10,C17:I73,5)</f>
        <v>529765.47986001836</v>
      </c>
      <c r="P5" s="465"/>
    </row>
    <row r="6" spans="1:16" ht="15.75">
      <c r="C6" s="6"/>
      <c r="D6" s="466"/>
      <c r="E6" s="465"/>
      <c r="F6" s="465"/>
      <c r="G6" s="465"/>
      <c r="H6" s="20"/>
      <c r="I6" s="20"/>
      <c r="J6" s="21"/>
      <c r="K6" s="22" t="s">
        <v>243</v>
      </c>
      <c r="L6" s="23"/>
      <c r="M6" s="465"/>
      <c r="N6" s="24">
        <f>VLOOKUP(I10,C17:I73,6)</f>
        <v>529765.47986001836</v>
      </c>
      <c r="O6" s="465"/>
      <c r="P6" s="465"/>
    </row>
    <row r="7" spans="1:16" ht="13.5" thickBot="1">
      <c r="C7" s="25" t="s">
        <v>46</v>
      </c>
      <c r="D7" s="87" t="s">
        <v>293</v>
      </c>
      <c r="E7" s="465"/>
      <c r="F7" s="465"/>
      <c r="G7" s="465"/>
      <c r="H7" s="467"/>
      <c r="I7" s="467"/>
      <c r="J7" s="468"/>
      <c r="K7" s="26" t="s">
        <v>47</v>
      </c>
      <c r="L7" s="470"/>
      <c r="M7" s="470"/>
      <c r="N7" s="471">
        <f>+N6-N5</f>
        <v>0</v>
      </c>
      <c r="O7" s="465"/>
      <c r="P7" s="465"/>
    </row>
    <row r="8" spans="1:16" ht="13.5" thickBot="1">
      <c r="C8" s="29"/>
      <c r="D8" s="83"/>
      <c r="E8" s="472"/>
      <c r="F8" s="472"/>
      <c r="G8" s="472"/>
      <c r="H8" s="472"/>
      <c r="I8" s="472"/>
      <c r="J8" s="472"/>
      <c r="K8" s="472"/>
      <c r="L8" s="472"/>
      <c r="M8" s="472"/>
      <c r="N8" s="472"/>
      <c r="O8" s="472"/>
      <c r="P8" s="465"/>
    </row>
    <row r="9" spans="1:16" ht="13.5" thickBot="1">
      <c r="C9" s="30" t="s">
        <v>48</v>
      </c>
      <c r="D9" s="89" t="s">
        <v>294</v>
      </c>
      <c r="E9" s="473" t="s">
        <v>295</v>
      </c>
      <c r="F9" s="31"/>
      <c r="G9" s="31"/>
      <c r="H9" s="31"/>
      <c r="I9" s="32"/>
      <c r="J9" s="33"/>
      <c r="P9" s="465"/>
    </row>
    <row r="10" spans="1:16">
      <c r="C10" s="474" t="s">
        <v>49</v>
      </c>
      <c r="D10" s="35">
        <v>3900461.01</v>
      </c>
      <c r="E10" s="465" t="s">
        <v>50</v>
      </c>
      <c r="G10" s="466"/>
      <c r="H10" s="466"/>
      <c r="I10" s="36">
        <v>2025</v>
      </c>
      <c r="J10" s="33"/>
      <c r="K10" s="468" t="s">
        <v>51</v>
      </c>
      <c r="O10" s="465"/>
      <c r="P10" s="465"/>
    </row>
    <row r="11" spans="1:16">
      <c r="C11" s="474" t="s">
        <v>52</v>
      </c>
      <c r="D11" s="37">
        <v>2022</v>
      </c>
      <c r="E11" s="474" t="s">
        <v>53</v>
      </c>
      <c r="F11" s="466"/>
      <c r="I11" s="475">
        <v>0</v>
      </c>
      <c r="J11" s="476"/>
      <c r="K11" t="str">
        <f>"          INPUT PROJECTED ARR (WITH &amp; WITHOUT INCENTIVES) FROM EACH PRIOR YEAR"</f>
        <v xml:space="preserve">          INPUT PROJECTED ARR (WITH &amp; WITHOUT INCENTIVES) FROM EACH PRIOR YEAR</v>
      </c>
      <c r="O11" s="465"/>
      <c r="P11" s="465"/>
    </row>
    <row r="12" spans="1:16">
      <c r="C12" s="474" t="s">
        <v>54</v>
      </c>
      <c r="D12" s="358">
        <v>6</v>
      </c>
      <c r="E12" s="474" t="s">
        <v>55</v>
      </c>
      <c r="F12" s="466"/>
      <c r="I12" s="477">
        <v>0.11475877389767174</v>
      </c>
      <c r="J12" s="280"/>
      <c r="K12" t="s">
        <v>56</v>
      </c>
      <c r="O12" s="465"/>
      <c r="P12" s="465"/>
    </row>
    <row r="13" spans="1:16">
      <c r="C13" s="474" t="s">
        <v>57</v>
      </c>
      <c r="D13" s="475">
        <v>33</v>
      </c>
      <c r="E13" s="474" t="s">
        <v>58</v>
      </c>
      <c r="F13" s="466"/>
      <c r="I13" s="477">
        <v>0.11475877389767174</v>
      </c>
      <c r="J13" s="280"/>
      <c r="K13" s="468" t="s">
        <v>59</v>
      </c>
      <c r="L13" s="280"/>
      <c r="M13" s="280"/>
      <c r="N13" s="280"/>
      <c r="O13" s="465"/>
      <c r="P13" s="465"/>
    </row>
    <row r="14" spans="1:16" ht="13.5" thickBot="1">
      <c r="C14" s="474" t="s">
        <v>60</v>
      </c>
      <c r="D14" s="37" t="s">
        <v>61</v>
      </c>
      <c r="E14" s="465" t="s">
        <v>62</v>
      </c>
      <c r="F14" s="466"/>
      <c r="I14" s="478">
        <f>IF(D10=0,0,D10/D13)</f>
        <v>118195.78818181818</v>
      </c>
      <c r="J14" s="468"/>
      <c r="K14" s="468"/>
      <c r="L14" s="468"/>
      <c r="M14" s="468"/>
      <c r="N14" s="468"/>
      <c r="O14" s="465"/>
      <c r="P14" s="465"/>
    </row>
    <row r="15" spans="1:16" ht="38.25">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465"/>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465"/>
    </row>
    <row r="17" spans="2:16">
      <c r="B17" t="str">
        <f t="shared" ref="B17:B71" si="0">IF(D17=F16,"","IU")</f>
        <v>IU</v>
      </c>
      <c r="C17" s="479">
        <f>IF(D11= "","-",D11)</f>
        <v>2022</v>
      </c>
      <c r="D17" s="455">
        <v>0</v>
      </c>
      <c r="E17" s="457">
        <v>10694.898989898989</v>
      </c>
      <c r="F17" s="457">
        <v>2106895.1010101009</v>
      </c>
      <c r="G17" s="457">
        <v>131587.24825136422</v>
      </c>
      <c r="H17" s="457">
        <v>131587.24825136422</v>
      </c>
      <c r="I17" s="482">
        <f t="shared" ref="I17:I71" si="1">H17-G17</f>
        <v>0</v>
      </c>
      <c r="J17" s="482"/>
      <c r="K17" s="114">
        <f>+G17</f>
        <v>131587.24825136422</v>
      </c>
      <c r="L17" s="52">
        <f t="shared" ref="L17:L18" si="2">IF(K17&lt;&gt;0,+G17-K17,0)</f>
        <v>0</v>
      </c>
      <c r="M17" s="114">
        <f>+H17</f>
        <v>131587.24825136422</v>
      </c>
      <c r="N17" s="483">
        <f t="shared" ref="N17:N71" si="3">IF(M17&lt;&gt;0,+H17-M17,0)</f>
        <v>0</v>
      </c>
      <c r="O17" s="484">
        <f t="shared" ref="O17:O71" si="4">+N17-L17</f>
        <v>0</v>
      </c>
      <c r="P17" s="465"/>
    </row>
    <row r="18" spans="2:16">
      <c r="B18" t="str">
        <f t="shared" si="0"/>
        <v>IU</v>
      </c>
      <c r="C18" s="479">
        <f>IF(D11="","-",+C17+1)</f>
        <v>2023</v>
      </c>
      <c r="D18" s="435">
        <v>6142792.1010101009</v>
      </c>
      <c r="E18" s="434">
        <v>198499.5806451613</v>
      </c>
      <c r="F18" s="435">
        <v>5944292.5203649392</v>
      </c>
      <c r="G18" s="434">
        <v>881618.42255373427</v>
      </c>
      <c r="H18" s="438">
        <v>881618.42255373427</v>
      </c>
      <c r="I18" s="482">
        <f t="shared" si="1"/>
        <v>0</v>
      </c>
      <c r="J18" s="482"/>
      <c r="K18" s="419">
        <f>+G18</f>
        <v>881618.42255373427</v>
      </c>
      <c r="L18" s="422">
        <f t="shared" si="2"/>
        <v>0</v>
      </c>
      <c r="M18" s="419">
        <f>+H18</f>
        <v>881618.42255373427</v>
      </c>
      <c r="N18" s="484">
        <f t="shared" si="3"/>
        <v>0</v>
      </c>
      <c r="O18" s="484">
        <f t="shared" si="4"/>
        <v>0</v>
      </c>
      <c r="P18" s="465"/>
    </row>
    <row r="19" spans="2:16">
      <c r="B19" t="str">
        <f t="shared" si="0"/>
        <v>IU</v>
      </c>
      <c r="C19" s="479">
        <f>IF(D11="","-",+C18+1)</f>
        <v>2024</v>
      </c>
      <c r="D19" s="435">
        <v>3691117.9903649399</v>
      </c>
      <c r="E19" s="434">
        <v>125816.53129032259</v>
      </c>
      <c r="F19" s="435">
        <v>3565301.4590746174</v>
      </c>
      <c r="G19" s="434">
        <v>539184.39064758178</v>
      </c>
      <c r="H19" s="438">
        <v>539184.39064758178</v>
      </c>
      <c r="I19" s="482">
        <f t="shared" si="1"/>
        <v>0</v>
      </c>
      <c r="J19" s="482"/>
      <c r="K19" s="419">
        <f>+G19</f>
        <v>539184.39064758178</v>
      </c>
      <c r="L19" s="422">
        <f t="shared" ref="L19" si="5">IF(K19&lt;&gt;0,+G19-K19,0)</f>
        <v>0</v>
      </c>
      <c r="M19" s="419">
        <f>+H19</f>
        <v>539184.39064758178</v>
      </c>
      <c r="N19" s="484">
        <f t="shared" ref="N19" si="6">IF(M19&lt;&gt;0,+H19-M19,0)</f>
        <v>0</v>
      </c>
      <c r="O19" s="484">
        <f t="shared" ref="O19" si="7">+N19-L19</f>
        <v>0</v>
      </c>
      <c r="P19" s="465"/>
    </row>
    <row r="20" spans="2:16">
      <c r="B20" t="str">
        <f t="shared" si="0"/>
        <v>IU</v>
      </c>
      <c r="C20" s="479">
        <f>IF(D11="","-",+C19+1)</f>
        <v>2025</v>
      </c>
      <c r="D20" s="435">
        <v>3559449.9890746172</v>
      </c>
      <c r="E20" s="434">
        <v>129815.36666666667</v>
      </c>
      <c r="F20" s="435">
        <v>3429634.6224079505</v>
      </c>
      <c r="G20" s="434">
        <v>529765.47986001836</v>
      </c>
      <c r="H20" s="438">
        <v>529765.47986001836</v>
      </c>
      <c r="I20" s="482">
        <f t="shared" si="1"/>
        <v>0</v>
      </c>
      <c r="J20" s="482"/>
      <c r="K20" s="419">
        <f>+G20</f>
        <v>529765.47986001836</v>
      </c>
      <c r="L20" s="422">
        <f t="shared" ref="L20" si="8">IF(K20&lt;&gt;0,+G20-K20,0)</f>
        <v>0</v>
      </c>
      <c r="M20" s="419">
        <f>+H20</f>
        <v>529765.47986001836</v>
      </c>
      <c r="N20" s="484">
        <f t="shared" ref="N20" si="9">IF(M20&lt;&gt;0,+H20-M20,0)</f>
        <v>0</v>
      </c>
      <c r="O20" s="484">
        <f t="shared" ref="O20" si="10">+N20-L20</f>
        <v>0</v>
      </c>
      <c r="P20" s="465"/>
    </row>
    <row r="21" spans="2:16">
      <c r="B21" t="str">
        <f t="shared" si="0"/>
        <v>IU</v>
      </c>
      <c r="C21" s="479">
        <f>IF(D11="","-",+C20+1)</f>
        <v>2026</v>
      </c>
      <c r="D21" s="481">
        <f>IF(F20+SUM(E$17:E20)=D$10,F20,D$10-SUM(E$17:E20))</f>
        <v>3435634.6324079502</v>
      </c>
      <c r="E21" s="55">
        <f t="shared" ref="E21:E71" si="11">IF(+I$14&lt;F20,I$14,D21)</f>
        <v>118195.78818181818</v>
      </c>
      <c r="F21" s="481">
        <f t="shared" ref="F21:F71" si="12">+D21-E21</f>
        <v>3317438.8442261321</v>
      </c>
      <c r="G21" s="485">
        <f t="shared" ref="G21:G71" si="13">(D21+F21)/2*I$12+E21</f>
        <v>505683.00429152546</v>
      </c>
      <c r="H21" s="478">
        <f t="shared" ref="H21:H71" si="14">+(D21+F21)/2*I$13+E21</f>
        <v>505683.00429152546</v>
      </c>
      <c r="I21" s="482">
        <f t="shared" si="1"/>
        <v>0</v>
      </c>
      <c r="J21" s="482"/>
      <c r="K21" s="112"/>
      <c r="L21" s="484">
        <f t="shared" ref="L21:L71" si="15">IF(K21&lt;&gt;0,+G21-K21,0)</f>
        <v>0</v>
      </c>
      <c r="M21" s="112"/>
      <c r="N21" s="484">
        <f t="shared" si="3"/>
        <v>0</v>
      </c>
      <c r="O21" s="484">
        <f t="shared" si="4"/>
        <v>0</v>
      </c>
      <c r="P21" s="465"/>
    </row>
    <row r="22" spans="2:16">
      <c r="B22" t="str">
        <f t="shared" si="0"/>
        <v/>
      </c>
      <c r="C22" s="479">
        <f>IF(D11="","-",+C21+1)</f>
        <v>2027</v>
      </c>
      <c r="D22" s="481">
        <f>IF(F21+SUM(E$17:E21)=D$10,F21,D$10-SUM(E$17:E21))</f>
        <v>3317438.8442261321</v>
      </c>
      <c r="E22" s="55">
        <f t="shared" si="11"/>
        <v>118195.78818181818</v>
      </c>
      <c r="F22" s="481">
        <f t="shared" si="12"/>
        <v>3199243.0560443141</v>
      </c>
      <c r="G22" s="485">
        <f t="shared" si="13"/>
        <v>492119.00055991113</v>
      </c>
      <c r="H22" s="478">
        <f t="shared" si="14"/>
        <v>492119.00055991113</v>
      </c>
      <c r="I22" s="482">
        <f t="shared" si="1"/>
        <v>0</v>
      </c>
      <c r="J22" s="482"/>
      <c r="K22" s="112"/>
      <c r="L22" s="484">
        <f t="shared" si="15"/>
        <v>0</v>
      </c>
      <c r="M22" s="112"/>
      <c r="N22" s="484">
        <f t="shared" si="3"/>
        <v>0</v>
      </c>
      <c r="O22" s="484">
        <f t="shared" si="4"/>
        <v>0</v>
      </c>
      <c r="P22" s="465"/>
    </row>
    <row r="23" spans="2:16">
      <c r="B23" t="str">
        <f t="shared" si="0"/>
        <v/>
      </c>
      <c r="C23" s="479">
        <f>IF(D11="","-",+C22+1)</f>
        <v>2028</v>
      </c>
      <c r="D23" s="481">
        <f>IF(F22+SUM(E$17:E22)=D$10,F22,D$10-SUM(E$17:E22))</f>
        <v>3199243.0560443141</v>
      </c>
      <c r="E23" s="55">
        <f t="shared" si="11"/>
        <v>118195.78818181818</v>
      </c>
      <c r="F23" s="481">
        <f t="shared" si="12"/>
        <v>3081047.267862496</v>
      </c>
      <c r="G23" s="485">
        <f t="shared" si="13"/>
        <v>478554.9968282968</v>
      </c>
      <c r="H23" s="478">
        <f t="shared" si="14"/>
        <v>478554.9968282968</v>
      </c>
      <c r="I23" s="482">
        <f t="shared" si="1"/>
        <v>0</v>
      </c>
      <c r="J23" s="482"/>
      <c r="K23" s="112"/>
      <c r="L23" s="484">
        <f t="shared" si="15"/>
        <v>0</v>
      </c>
      <c r="M23" s="112"/>
      <c r="N23" s="484">
        <f t="shared" si="3"/>
        <v>0</v>
      </c>
      <c r="O23" s="484">
        <f t="shared" si="4"/>
        <v>0</v>
      </c>
      <c r="P23" s="465"/>
    </row>
    <row r="24" spans="2:16">
      <c r="B24" t="str">
        <f t="shared" si="0"/>
        <v/>
      </c>
      <c r="C24" s="479">
        <f>IF(D11="","-",+C23+1)</f>
        <v>2029</v>
      </c>
      <c r="D24" s="481">
        <f>IF(F23+SUM(E$17:E23)=D$10,F23,D$10-SUM(E$17:E23))</f>
        <v>3081047.267862496</v>
      </c>
      <c r="E24" s="55">
        <f t="shared" si="11"/>
        <v>118195.78818181818</v>
      </c>
      <c r="F24" s="481">
        <f t="shared" si="12"/>
        <v>2962851.4796806779</v>
      </c>
      <c r="G24" s="485">
        <f t="shared" si="13"/>
        <v>464990.99309668248</v>
      </c>
      <c r="H24" s="478">
        <f t="shared" si="14"/>
        <v>464990.99309668248</v>
      </c>
      <c r="I24" s="482">
        <f t="shared" si="1"/>
        <v>0</v>
      </c>
      <c r="J24" s="482"/>
      <c r="K24" s="112"/>
      <c r="L24" s="484">
        <f t="shared" si="15"/>
        <v>0</v>
      </c>
      <c r="M24" s="112"/>
      <c r="N24" s="484">
        <f t="shared" si="3"/>
        <v>0</v>
      </c>
      <c r="O24" s="484">
        <f t="shared" si="4"/>
        <v>0</v>
      </c>
      <c r="P24" s="465"/>
    </row>
    <row r="25" spans="2:16">
      <c r="B25" t="str">
        <f t="shared" si="0"/>
        <v/>
      </c>
      <c r="C25" s="479">
        <f>IF(D11="","-",+C24+1)</f>
        <v>2030</v>
      </c>
      <c r="D25" s="481">
        <f>IF(F24+SUM(E$17:E24)=D$10,F24,D$10-SUM(E$17:E24))</f>
        <v>2962851.4796806779</v>
      </c>
      <c r="E25" s="55">
        <f t="shared" si="11"/>
        <v>118195.78818181818</v>
      </c>
      <c r="F25" s="481">
        <f t="shared" si="12"/>
        <v>2844655.6914988598</v>
      </c>
      <c r="G25" s="485">
        <f t="shared" si="13"/>
        <v>451426.98936506803</v>
      </c>
      <c r="H25" s="478">
        <f t="shared" si="14"/>
        <v>451426.98936506803</v>
      </c>
      <c r="I25" s="482">
        <f t="shared" si="1"/>
        <v>0</v>
      </c>
      <c r="J25" s="482"/>
      <c r="K25" s="112"/>
      <c r="L25" s="484">
        <f t="shared" si="15"/>
        <v>0</v>
      </c>
      <c r="M25" s="112"/>
      <c r="N25" s="484">
        <f t="shared" si="3"/>
        <v>0</v>
      </c>
      <c r="O25" s="484">
        <f t="shared" si="4"/>
        <v>0</v>
      </c>
      <c r="P25" s="465"/>
    </row>
    <row r="26" spans="2:16">
      <c r="B26" t="str">
        <f t="shared" si="0"/>
        <v/>
      </c>
      <c r="C26" s="479">
        <f>IF(D11="","-",+C25+1)</f>
        <v>2031</v>
      </c>
      <c r="D26" s="481">
        <f>IF(F25+SUM(E$17:E25)=D$10,F25,D$10-SUM(E$17:E25))</f>
        <v>2844655.6914988598</v>
      </c>
      <c r="E26" s="55">
        <f t="shared" si="11"/>
        <v>118195.78818181818</v>
      </c>
      <c r="F26" s="481">
        <f t="shared" si="12"/>
        <v>2726459.9033170417</v>
      </c>
      <c r="G26" s="485">
        <f t="shared" si="13"/>
        <v>437862.9856334537</v>
      </c>
      <c r="H26" s="478">
        <f t="shared" si="14"/>
        <v>437862.9856334537</v>
      </c>
      <c r="I26" s="482">
        <f t="shared" si="1"/>
        <v>0</v>
      </c>
      <c r="J26" s="482"/>
      <c r="K26" s="112"/>
      <c r="L26" s="484">
        <f t="shared" si="15"/>
        <v>0</v>
      </c>
      <c r="M26" s="112"/>
      <c r="N26" s="484">
        <f t="shared" si="3"/>
        <v>0</v>
      </c>
      <c r="O26" s="484">
        <f t="shared" si="4"/>
        <v>0</v>
      </c>
      <c r="P26" s="465"/>
    </row>
    <row r="27" spans="2:16">
      <c r="B27" t="str">
        <f t="shared" si="0"/>
        <v/>
      </c>
      <c r="C27" s="479">
        <f>IF(D11="","-",+C26+1)</f>
        <v>2032</v>
      </c>
      <c r="D27" s="481">
        <f>IF(F26+SUM(E$17:E26)=D$10,F26,D$10-SUM(E$17:E26))</f>
        <v>2726459.9033170417</v>
      </c>
      <c r="E27" s="55">
        <f t="shared" si="11"/>
        <v>118195.78818181818</v>
      </c>
      <c r="F27" s="481">
        <f t="shared" si="12"/>
        <v>2608264.1151352236</v>
      </c>
      <c r="G27" s="485">
        <f t="shared" si="13"/>
        <v>424298.98190183938</v>
      </c>
      <c r="H27" s="478">
        <f t="shared" si="14"/>
        <v>424298.98190183938</v>
      </c>
      <c r="I27" s="482">
        <f t="shared" si="1"/>
        <v>0</v>
      </c>
      <c r="J27" s="482"/>
      <c r="K27" s="112"/>
      <c r="L27" s="484">
        <f t="shared" si="15"/>
        <v>0</v>
      </c>
      <c r="M27" s="112"/>
      <c r="N27" s="484">
        <f t="shared" si="3"/>
        <v>0</v>
      </c>
      <c r="O27" s="484">
        <f t="shared" si="4"/>
        <v>0</v>
      </c>
      <c r="P27" s="465"/>
    </row>
    <row r="28" spans="2:16">
      <c r="B28" t="str">
        <f t="shared" si="0"/>
        <v/>
      </c>
      <c r="C28" s="479">
        <f>IF(D11="","-",+C27+1)</f>
        <v>2033</v>
      </c>
      <c r="D28" s="481">
        <f>IF(F27+SUM(E$17:E27)=D$10,F27,D$10-SUM(E$17:E27))</f>
        <v>2608264.1151352236</v>
      </c>
      <c r="E28" s="55">
        <f t="shared" si="11"/>
        <v>118195.78818181818</v>
      </c>
      <c r="F28" s="481">
        <f t="shared" si="12"/>
        <v>2490068.3269534055</v>
      </c>
      <c r="G28" s="485">
        <f t="shared" si="13"/>
        <v>410734.97817022493</v>
      </c>
      <c r="H28" s="478">
        <f t="shared" si="14"/>
        <v>410734.97817022493</v>
      </c>
      <c r="I28" s="482">
        <f t="shared" si="1"/>
        <v>0</v>
      </c>
      <c r="J28" s="482"/>
      <c r="K28" s="112"/>
      <c r="L28" s="484">
        <f t="shared" si="15"/>
        <v>0</v>
      </c>
      <c r="M28" s="112"/>
      <c r="N28" s="484">
        <f t="shared" si="3"/>
        <v>0</v>
      </c>
      <c r="O28" s="484">
        <f t="shared" si="4"/>
        <v>0</v>
      </c>
      <c r="P28" s="465"/>
    </row>
    <row r="29" spans="2:16">
      <c r="B29" t="str">
        <f t="shared" si="0"/>
        <v/>
      </c>
      <c r="C29" s="479">
        <f>IF(D11="","-",+C28+1)</f>
        <v>2034</v>
      </c>
      <c r="D29" s="481">
        <f>IF(F28+SUM(E$17:E28)=D$10,F28,D$10-SUM(E$17:E28))</f>
        <v>2490068.3269534055</v>
      </c>
      <c r="E29" s="55">
        <f t="shared" si="11"/>
        <v>118195.78818181818</v>
      </c>
      <c r="F29" s="481">
        <f t="shared" si="12"/>
        <v>2371872.5387715874</v>
      </c>
      <c r="G29" s="485">
        <f t="shared" si="13"/>
        <v>397170.9744386106</v>
      </c>
      <c r="H29" s="478">
        <f t="shared" si="14"/>
        <v>397170.9744386106</v>
      </c>
      <c r="I29" s="482">
        <f t="shared" si="1"/>
        <v>0</v>
      </c>
      <c r="J29" s="482"/>
      <c r="K29" s="112"/>
      <c r="L29" s="484">
        <f t="shared" si="15"/>
        <v>0</v>
      </c>
      <c r="M29" s="112"/>
      <c r="N29" s="484">
        <f t="shared" si="3"/>
        <v>0</v>
      </c>
      <c r="O29" s="484">
        <f t="shared" si="4"/>
        <v>0</v>
      </c>
      <c r="P29" s="465"/>
    </row>
    <row r="30" spans="2:16">
      <c r="B30" t="str">
        <f t="shared" si="0"/>
        <v/>
      </c>
      <c r="C30" s="479">
        <f>IF(D11="","-",+C29+1)</f>
        <v>2035</v>
      </c>
      <c r="D30" s="481">
        <f>IF(F29+SUM(E$17:E29)=D$10,F29,D$10-SUM(E$17:E29))</f>
        <v>2371872.5387715874</v>
      </c>
      <c r="E30" s="55">
        <f t="shared" si="11"/>
        <v>118195.78818181818</v>
      </c>
      <c r="F30" s="481">
        <f t="shared" si="12"/>
        <v>2253676.7505897693</v>
      </c>
      <c r="G30" s="485">
        <f t="shared" si="13"/>
        <v>383606.97070699628</v>
      </c>
      <c r="H30" s="478">
        <f t="shared" si="14"/>
        <v>383606.97070699628</v>
      </c>
      <c r="I30" s="482">
        <f t="shared" si="1"/>
        <v>0</v>
      </c>
      <c r="J30" s="482"/>
      <c r="K30" s="112"/>
      <c r="L30" s="484">
        <f t="shared" si="15"/>
        <v>0</v>
      </c>
      <c r="M30" s="112"/>
      <c r="N30" s="484">
        <f t="shared" si="3"/>
        <v>0</v>
      </c>
      <c r="O30" s="484">
        <f t="shared" si="4"/>
        <v>0</v>
      </c>
      <c r="P30" s="465"/>
    </row>
    <row r="31" spans="2:16">
      <c r="B31" t="str">
        <f t="shared" si="0"/>
        <v/>
      </c>
      <c r="C31" s="479">
        <f>IF(D11="","-",+C30+1)</f>
        <v>2036</v>
      </c>
      <c r="D31" s="481">
        <f>IF(F30+SUM(E$17:E30)=D$10,F30,D$10-SUM(E$17:E30))</f>
        <v>2253676.7505897693</v>
      </c>
      <c r="E31" s="55">
        <f t="shared" si="11"/>
        <v>118195.78818181818</v>
      </c>
      <c r="F31" s="481">
        <f t="shared" si="12"/>
        <v>2135480.9624079512</v>
      </c>
      <c r="G31" s="485">
        <f t="shared" si="13"/>
        <v>370042.96697538183</v>
      </c>
      <c r="H31" s="478">
        <f t="shared" si="14"/>
        <v>370042.96697538183</v>
      </c>
      <c r="I31" s="482">
        <f t="shared" si="1"/>
        <v>0</v>
      </c>
      <c r="J31" s="482"/>
      <c r="K31" s="112"/>
      <c r="L31" s="484">
        <f t="shared" si="15"/>
        <v>0</v>
      </c>
      <c r="M31" s="112"/>
      <c r="N31" s="484">
        <f t="shared" si="3"/>
        <v>0</v>
      </c>
      <c r="O31" s="484">
        <f t="shared" si="4"/>
        <v>0</v>
      </c>
      <c r="P31" s="465"/>
    </row>
    <row r="32" spans="2:16">
      <c r="B32" t="str">
        <f t="shared" si="0"/>
        <v/>
      </c>
      <c r="C32" s="479">
        <f>IF(D11="","-",+C31+1)</f>
        <v>2037</v>
      </c>
      <c r="D32" s="481">
        <f>IF(F31+SUM(E$17:E31)=D$10,F31,D$10-SUM(E$17:E31))</f>
        <v>2135480.9624079512</v>
      </c>
      <c r="E32" s="55">
        <f t="shared" si="11"/>
        <v>118195.78818181818</v>
      </c>
      <c r="F32" s="481">
        <f t="shared" si="12"/>
        <v>2017285.1742261332</v>
      </c>
      <c r="G32" s="485">
        <f t="shared" si="13"/>
        <v>356478.9632437675</v>
      </c>
      <c r="H32" s="478">
        <f t="shared" si="14"/>
        <v>356478.9632437675</v>
      </c>
      <c r="I32" s="482">
        <f t="shared" si="1"/>
        <v>0</v>
      </c>
      <c r="J32" s="482"/>
      <c r="K32" s="112"/>
      <c r="L32" s="484">
        <f t="shared" si="15"/>
        <v>0</v>
      </c>
      <c r="M32" s="112"/>
      <c r="N32" s="484">
        <f t="shared" si="3"/>
        <v>0</v>
      </c>
      <c r="O32" s="484">
        <f t="shared" si="4"/>
        <v>0</v>
      </c>
      <c r="P32" s="465"/>
    </row>
    <row r="33" spans="2:16">
      <c r="B33" t="str">
        <f t="shared" si="0"/>
        <v/>
      </c>
      <c r="C33" s="479">
        <f>IF(D11="","-",+C32+1)</f>
        <v>2038</v>
      </c>
      <c r="D33" s="481">
        <f>IF(F32+SUM(E$17:E32)=D$10,F32,D$10-SUM(E$17:E32))</f>
        <v>2017285.1742261332</v>
      </c>
      <c r="E33" s="55">
        <f t="shared" si="11"/>
        <v>118195.78818181818</v>
      </c>
      <c r="F33" s="481">
        <f t="shared" si="12"/>
        <v>1899089.3860443151</v>
      </c>
      <c r="G33" s="485">
        <f t="shared" si="13"/>
        <v>342914.95951215317</v>
      </c>
      <c r="H33" s="478">
        <f t="shared" si="14"/>
        <v>342914.95951215317</v>
      </c>
      <c r="I33" s="482">
        <f t="shared" si="1"/>
        <v>0</v>
      </c>
      <c r="J33" s="482"/>
      <c r="K33" s="112"/>
      <c r="L33" s="484">
        <f t="shared" si="15"/>
        <v>0</v>
      </c>
      <c r="M33" s="112"/>
      <c r="N33" s="484">
        <f t="shared" si="3"/>
        <v>0</v>
      </c>
      <c r="O33" s="484">
        <f t="shared" si="4"/>
        <v>0</v>
      </c>
      <c r="P33" s="465"/>
    </row>
    <row r="34" spans="2:16">
      <c r="B34" t="str">
        <f t="shared" si="0"/>
        <v/>
      </c>
      <c r="C34" s="479">
        <f>IF(D11="","-",+C33+1)</f>
        <v>2039</v>
      </c>
      <c r="D34" s="481">
        <f>IF(F33+SUM(E$17:E33)=D$10,F33,D$10-SUM(E$17:E33))</f>
        <v>1899089.3860443151</v>
      </c>
      <c r="E34" s="55">
        <f t="shared" si="11"/>
        <v>118195.78818181818</v>
      </c>
      <c r="F34" s="481">
        <f t="shared" si="12"/>
        <v>1780893.597862497</v>
      </c>
      <c r="G34" s="485">
        <f t="shared" si="13"/>
        <v>329350.95578053879</v>
      </c>
      <c r="H34" s="478">
        <f t="shared" si="14"/>
        <v>329350.95578053879</v>
      </c>
      <c r="I34" s="482">
        <f t="shared" si="1"/>
        <v>0</v>
      </c>
      <c r="J34" s="482"/>
      <c r="K34" s="112"/>
      <c r="L34" s="484">
        <f t="shared" si="15"/>
        <v>0</v>
      </c>
      <c r="M34" s="112"/>
      <c r="N34" s="484">
        <f t="shared" si="3"/>
        <v>0</v>
      </c>
      <c r="O34" s="484">
        <f t="shared" si="4"/>
        <v>0</v>
      </c>
      <c r="P34" s="465"/>
    </row>
    <row r="35" spans="2:16">
      <c r="B35" t="str">
        <f t="shared" si="0"/>
        <v/>
      </c>
      <c r="C35" s="479">
        <f>IF(D11="","-",+C34+1)</f>
        <v>2040</v>
      </c>
      <c r="D35" s="481">
        <f>IF(F34+SUM(E$17:E34)=D$10,F34,D$10-SUM(E$17:E34))</f>
        <v>1780893.597862497</v>
      </c>
      <c r="E35" s="55">
        <f t="shared" si="11"/>
        <v>118195.78818181818</v>
      </c>
      <c r="F35" s="481">
        <f t="shared" si="12"/>
        <v>1662697.8096806789</v>
      </c>
      <c r="G35" s="485">
        <f t="shared" si="13"/>
        <v>315786.9520489244</v>
      </c>
      <c r="H35" s="478">
        <f t="shared" si="14"/>
        <v>315786.9520489244</v>
      </c>
      <c r="I35" s="482">
        <f t="shared" si="1"/>
        <v>0</v>
      </c>
      <c r="J35" s="482"/>
      <c r="K35" s="112"/>
      <c r="L35" s="484">
        <f t="shared" si="15"/>
        <v>0</v>
      </c>
      <c r="M35" s="112"/>
      <c r="N35" s="484">
        <f t="shared" si="3"/>
        <v>0</v>
      </c>
      <c r="O35" s="484">
        <f t="shared" si="4"/>
        <v>0</v>
      </c>
      <c r="P35" s="465"/>
    </row>
    <row r="36" spans="2:16">
      <c r="B36" t="str">
        <f t="shared" si="0"/>
        <v/>
      </c>
      <c r="C36" s="479">
        <f>IF(D11="","-",+C35+1)</f>
        <v>2041</v>
      </c>
      <c r="D36" s="481">
        <f>IF(F35+SUM(E$17:E35)=D$10,F35,D$10-SUM(E$17:E35))</f>
        <v>1662697.8096806789</v>
      </c>
      <c r="E36" s="55">
        <f t="shared" si="11"/>
        <v>118195.78818181818</v>
      </c>
      <c r="F36" s="481">
        <f t="shared" si="12"/>
        <v>1544502.0214988608</v>
      </c>
      <c r="G36" s="485">
        <f t="shared" si="13"/>
        <v>302222.94831731007</v>
      </c>
      <c r="H36" s="478">
        <f t="shared" si="14"/>
        <v>302222.94831731007</v>
      </c>
      <c r="I36" s="482">
        <f t="shared" si="1"/>
        <v>0</v>
      </c>
      <c r="J36" s="482"/>
      <c r="K36" s="112"/>
      <c r="L36" s="484">
        <f t="shared" si="15"/>
        <v>0</v>
      </c>
      <c r="M36" s="112"/>
      <c r="N36" s="484">
        <f t="shared" si="3"/>
        <v>0</v>
      </c>
      <c r="O36" s="484">
        <f t="shared" si="4"/>
        <v>0</v>
      </c>
      <c r="P36" s="465"/>
    </row>
    <row r="37" spans="2:16">
      <c r="B37" t="str">
        <f t="shared" si="0"/>
        <v/>
      </c>
      <c r="C37" s="479">
        <f>IF(D11="","-",+C36+1)</f>
        <v>2042</v>
      </c>
      <c r="D37" s="481">
        <f>IF(F36+SUM(E$17:E36)=D$10,F36,D$10-SUM(E$17:E36))</f>
        <v>1544502.0214988608</v>
      </c>
      <c r="E37" s="55">
        <f t="shared" si="11"/>
        <v>118195.78818181818</v>
      </c>
      <c r="F37" s="481">
        <f t="shared" si="12"/>
        <v>1426306.2333170427</v>
      </c>
      <c r="G37" s="485">
        <f t="shared" si="13"/>
        <v>288658.94458569569</v>
      </c>
      <c r="H37" s="478">
        <f t="shared" si="14"/>
        <v>288658.94458569569</v>
      </c>
      <c r="I37" s="482">
        <f t="shared" si="1"/>
        <v>0</v>
      </c>
      <c r="J37" s="482"/>
      <c r="K37" s="112"/>
      <c r="L37" s="484">
        <f t="shared" si="15"/>
        <v>0</v>
      </c>
      <c r="M37" s="112"/>
      <c r="N37" s="484">
        <f t="shared" si="3"/>
        <v>0</v>
      </c>
      <c r="O37" s="484">
        <f t="shared" si="4"/>
        <v>0</v>
      </c>
      <c r="P37" s="465"/>
    </row>
    <row r="38" spans="2:16">
      <c r="B38" t="str">
        <f t="shared" si="0"/>
        <v/>
      </c>
      <c r="C38" s="479">
        <f>IF(D11="","-",+C37+1)</f>
        <v>2043</v>
      </c>
      <c r="D38" s="481">
        <f>IF(F37+SUM(E$17:E37)=D$10,F37,D$10-SUM(E$17:E37))</f>
        <v>1426306.2333170427</v>
      </c>
      <c r="E38" s="55">
        <f t="shared" si="11"/>
        <v>118195.78818181818</v>
      </c>
      <c r="F38" s="481">
        <f t="shared" si="12"/>
        <v>1308110.4451352246</v>
      </c>
      <c r="G38" s="485">
        <f t="shared" si="13"/>
        <v>275094.9408540813</v>
      </c>
      <c r="H38" s="478">
        <f t="shared" si="14"/>
        <v>275094.9408540813</v>
      </c>
      <c r="I38" s="482">
        <f t="shared" si="1"/>
        <v>0</v>
      </c>
      <c r="J38" s="482"/>
      <c r="K38" s="112"/>
      <c r="L38" s="484">
        <f t="shared" si="15"/>
        <v>0</v>
      </c>
      <c r="M38" s="112"/>
      <c r="N38" s="484">
        <f t="shared" si="3"/>
        <v>0</v>
      </c>
      <c r="O38" s="484">
        <f t="shared" si="4"/>
        <v>0</v>
      </c>
      <c r="P38" s="465"/>
    </row>
    <row r="39" spans="2:16">
      <c r="B39" t="str">
        <f t="shared" si="0"/>
        <v/>
      </c>
      <c r="C39" s="479">
        <f>IF(D11="","-",+C38+1)</f>
        <v>2044</v>
      </c>
      <c r="D39" s="481">
        <f>IF(F38+SUM(E$17:E38)=D$10,F38,D$10-SUM(E$17:E38))</f>
        <v>1308110.4451352246</v>
      </c>
      <c r="E39" s="55">
        <f t="shared" si="11"/>
        <v>118195.78818181818</v>
      </c>
      <c r="F39" s="481">
        <f t="shared" si="12"/>
        <v>1189914.6569534065</v>
      </c>
      <c r="G39" s="485">
        <f t="shared" si="13"/>
        <v>261530.93712246697</v>
      </c>
      <c r="H39" s="478">
        <f t="shared" si="14"/>
        <v>261530.93712246697</v>
      </c>
      <c r="I39" s="482">
        <f t="shared" si="1"/>
        <v>0</v>
      </c>
      <c r="J39" s="482"/>
      <c r="K39" s="112"/>
      <c r="L39" s="484">
        <f t="shared" si="15"/>
        <v>0</v>
      </c>
      <c r="M39" s="112"/>
      <c r="N39" s="484">
        <f t="shared" si="3"/>
        <v>0</v>
      </c>
      <c r="O39" s="484">
        <f t="shared" si="4"/>
        <v>0</v>
      </c>
      <c r="P39" s="465"/>
    </row>
    <row r="40" spans="2:16">
      <c r="B40" t="str">
        <f t="shared" si="0"/>
        <v/>
      </c>
      <c r="C40" s="479">
        <f>IF(D11="","-",+C39+1)</f>
        <v>2045</v>
      </c>
      <c r="D40" s="481">
        <f>IF(F39+SUM(E$17:E39)=D$10,F39,D$10-SUM(E$17:E39))</f>
        <v>1189914.6569534065</v>
      </c>
      <c r="E40" s="55">
        <f t="shared" si="11"/>
        <v>118195.78818181818</v>
      </c>
      <c r="F40" s="481">
        <f t="shared" si="12"/>
        <v>1071718.8687715884</v>
      </c>
      <c r="G40" s="485">
        <f t="shared" si="13"/>
        <v>247966.93339085259</v>
      </c>
      <c r="H40" s="478">
        <f t="shared" si="14"/>
        <v>247966.93339085259</v>
      </c>
      <c r="I40" s="482">
        <f t="shared" si="1"/>
        <v>0</v>
      </c>
      <c r="J40" s="482"/>
      <c r="K40" s="112"/>
      <c r="L40" s="484">
        <f t="shared" si="15"/>
        <v>0</v>
      </c>
      <c r="M40" s="112"/>
      <c r="N40" s="484">
        <f t="shared" si="3"/>
        <v>0</v>
      </c>
      <c r="O40" s="484">
        <f t="shared" si="4"/>
        <v>0</v>
      </c>
      <c r="P40" s="465"/>
    </row>
    <row r="41" spans="2:16">
      <c r="B41" t="str">
        <f t="shared" si="0"/>
        <v/>
      </c>
      <c r="C41" s="479">
        <f>IF(D11="","-",+C40+1)</f>
        <v>2046</v>
      </c>
      <c r="D41" s="481">
        <f>IF(F40+SUM(E$17:E40)=D$10,F40,D$10-SUM(E$17:E40))</f>
        <v>1071718.8687715884</v>
      </c>
      <c r="E41" s="55">
        <f t="shared" si="11"/>
        <v>118195.78818181818</v>
      </c>
      <c r="F41" s="481">
        <f t="shared" si="12"/>
        <v>953523.08058977022</v>
      </c>
      <c r="G41" s="485">
        <f t="shared" si="13"/>
        <v>234402.92965923826</v>
      </c>
      <c r="H41" s="478">
        <f t="shared" si="14"/>
        <v>234402.92965923826</v>
      </c>
      <c r="I41" s="482">
        <f t="shared" si="1"/>
        <v>0</v>
      </c>
      <c r="J41" s="482"/>
      <c r="K41" s="112"/>
      <c r="L41" s="484">
        <f t="shared" si="15"/>
        <v>0</v>
      </c>
      <c r="M41" s="112"/>
      <c r="N41" s="484">
        <f t="shared" si="3"/>
        <v>0</v>
      </c>
      <c r="O41" s="484">
        <f t="shared" si="4"/>
        <v>0</v>
      </c>
      <c r="P41" s="465"/>
    </row>
    <row r="42" spans="2:16">
      <c r="B42" t="str">
        <f t="shared" si="0"/>
        <v/>
      </c>
      <c r="C42" s="479">
        <f>IF(D11="","-",+C41+1)</f>
        <v>2047</v>
      </c>
      <c r="D42" s="481">
        <f>IF(F41+SUM(E$17:E41)=D$10,F41,D$10-SUM(E$17:E41))</f>
        <v>953523.08058977022</v>
      </c>
      <c r="E42" s="55">
        <f t="shared" si="11"/>
        <v>118195.78818181818</v>
      </c>
      <c r="F42" s="481">
        <f t="shared" si="12"/>
        <v>835327.29240795202</v>
      </c>
      <c r="G42" s="485">
        <f t="shared" si="13"/>
        <v>220838.92592762384</v>
      </c>
      <c r="H42" s="478">
        <f t="shared" si="14"/>
        <v>220838.92592762384</v>
      </c>
      <c r="I42" s="482">
        <f t="shared" si="1"/>
        <v>0</v>
      </c>
      <c r="J42" s="482"/>
      <c r="K42" s="112"/>
      <c r="L42" s="484">
        <f t="shared" si="15"/>
        <v>0</v>
      </c>
      <c r="M42" s="112"/>
      <c r="N42" s="484">
        <f t="shared" si="3"/>
        <v>0</v>
      </c>
      <c r="O42" s="484">
        <f t="shared" si="4"/>
        <v>0</v>
      </c>
      <c r="P42" s="465"/>
    </row>
    <row r="43" spans="2:16">
      <c r="B43" t="str">
        <f t="shared" si="0"/>
        <v/>
      </c>
      <c r="C43" s="479">
        <f>IF(D11="","-",+C42+1)</f>
        <v>2048</v>
      </c>
      <c r="D43" s="481">
        <f>IF(F42+SUM(E$17:E42)=D$10,F42,D$10-SUM(E$17:E42))</f>
        <v>835327.29240795202</v>
      </c>
      <c r="E43" s="55">
        <f t="shared" si="11"/>
        <v>118195.78818181818</v>
      </c>
      <c r="F43" s="481">
        <f t="shared" si="12"/>
        <v>717131.50422613381</v>
      </c>
      <c r="G43" s="485">
        <f t="shared" si="13"/>
        <v>207274.92219600949</v>
      </c>
      <c r="H43" s="478">
        <f t="shared" si="14"/>
        <v>207274.92219600949</v>
      </c>
      <c r="I43" s="482">
        <f t="shared" si="1"/>
        <v>0</v>
      </c>
      <c r="J43" s="482"/>
      <c r="K43" s="112"/>
      <c r="L43" s="484">
        <f t="shared" si="15"/>
        <v>0</v>
      </c>
      <c r="M43" s="112"/>
      <c r="N43" s="484">
        <f t="shared" si="3"/>
        <v>0</v>
      </c>
      <c r="O43" s="484">
        <f t="shared" si="4"/>
        <v>0</v>
      </c>
      <c r="P43" s="465"/>
    </row>
    <row r="44" spans="2:16">
      <c r="B44" t="str">
        <f t="shared" si="0"/>
        <v/>
      </c>
      <c r="C44" s="479">
        <f>IF(D11="","-",+C43+1)</f>
        <v>2049</v>
      </c>
      <c r="D44" s="481">
        <f>IF(F43+SUM(E$17:E43)=D$10,F43,D$10-SUM(E$17:E43))</f>
        <v>717131.50422613381</v>
      </c>
      <c r="E44" s="55">
        <f t="shared" si="11"/>
        <v>118195.78818181818</v>
      </c>
      <c r="F44" s="481">
        <f t="shared" si="12"/>
        <v>598935.7160443156</v>
      </c>
      <c r="G44" s="485">
        <f t="shared" si="13"/>
        <v>193710.9184643951</v>
      </c>
      <c r="H44" s="478">
        <f t="shared" si="14"/>
        <v>193710.9184643951</v>
      </c>
      <c r="I44" s="482">
        <f t="shared" si="1"/>
        <v>0</v>
      </c>
      <c r="J44" s="482"/>
      <c r="K44" s="112"/>
      <c r="L44" s="484">
        <f t="shared" si="15"/>
        <v>0</v>
      </c>
      <c r="M44" s="112"/>
      <c r="N44" s="484">
        <f t="shared" si="3"/>
        <v>0</v>
      </c>
      <c r="O44" s="484">
        <f t="shared" si="4"/>
        <v>0</v>
      </c>
      <c r="P44" s="465"/>
    </row>
    <row r="45" spans="2:16">
      <c r="B45" t="str">
        <f t="shared" si="0"/>
        <v/>
      </c>
      <c r="C45" s="479">
        <f>IF(D11="","-",+C44+1)</f>
        <v>2050</v>
      </c>
      <c r="D45" s="481">
        <f>IF(F44+SUM(E$17:E44)=D$10,F44,D$10-SUM(E$17:E44))</f>
        <v>598935.7160443156</v>
      </c>
      <c r="E45" s="55">
        <f t="shared" si="11"/>
        <v>118195.78818181818</v>
      </c>
      <c r="F45" s="481">
        <f t="shared" si="12"/>
        <v>480739.9278624974</v>
      </c>
      <c r="G45" s="485">
        <f t="shared" si="13"/>
        <v>180146.91473278071</v>
      </c>
      <c r="H45" s="478">
        <f t="shared" si="14"/>
        <v>180146.91473278071</v>
      </c>
      <c r="I45" s="482">
        <f t="shared" si="1"/>
        <v>0</v>
      </c>
      <c r="J45" s="482"/>
      <c r="K45" s="112"/>
      <c r="L45" s="484">
        <f t="shared" si="15"/>
        <v>0</v>
      </c>
      <c r="M45" s="112"/>
      <c r="N45" s="484">
        <f t="shared" si="3"/>
        <v>0</v>
      </c>
      <c r="O45" s="484">
        <f t="shared" si="4"/>
        <v>0</v>
      </c>
      <c r="P45" s="465"/>
    </row>
    <row r="46" spans="2:16">
      <c r="B46" t="str">
        <f t="shared" si="0"/>
        <v/>
      </c>
      <c r="C46" s="479">
        <f>IF(D11="","-",+C45+1)</f>
        <v>2051</v>
      </c>
      <c r="D46" s="481">
        <f>IF(F45+SUM(E$17:E45)=D$10,F45,D$10-SUM(E$17:E45))</f>
        <v>480739.9278624974</v>
      </c>
      <c r="E46" s="55">
        <f t="shared" si="11"/>
        <v>118195.78818181818</v>
      </c>
      <c r="F46" s="481">
        <f t="shared" si="12"/>
        <v>362544.13968067919</v>
      </c>
      <c r="G46" s="485">
        <f t="shared" si="13"/>
        <v>166582.91100116636</v>
      </c>
      <c r="H46" s="478">
        <f t="shared" si="14"/>
        <v>166582.91100116636</v>
      </c>
      <c r="I46" s="482">
        <f t="shared" si="1"/>
        <v>0</v>
      </c>
      <c r="J46" s="482"/>
      <c r="K46" s="112"/>
      <c r="L46" s="484">
        <f t="shared" si="15"/>
        <v>0</v>
      </c>
      <c r="M46" s="112"/>
      <c r="N46" s="484">
        <f t="shared" si="3"/>
        <v>0</v>
      </c>
      <c r="O46" s="484">
        <f t="shared" si="4"/>
        <v>0</v>
      </c>
      <c r="P46" s="465"/>
    </row>
    <row r="47" spans="2:16">
      <c r="B47" t="str">
        <f t="shared" si="0"/>
        <v/>
      </c>
      <c r="C47" s="479">
        <f>IF(D11="","-",+C46+1)</f>
        <v>2052</v>
      </c>
      <c r="D47" s="481">
        <f>IF(F46+SUM(E$17:E46)=D$10,F46,D$10-SUM(E$17:E46))</f>
        <v>362544.13968067919</v>
      </c>
      <c r="E47" s="55">
        <f t="shared" si="11"/>
        <v>118195.78818181818</v>
      </c>
      <c r="F47" s="481">
        <f t="shared" si="12"/>
        <v>244348.35149886101</v>
      </c>
      <c r="G47" s="485">
        <f t="shared" si="13"/>
        <v>153018.90726955197</v>
      </c>
      <c r="H47" s="478">
        <f t="shared" si="14"/>
        <v>153018.90726955197</v>
      </c>
      <c r="I47" s="482">
        <f t="shared" si="1"/>
        <v>0</v>
      </c>
      <c r="J47" s="482"/>
      <c r="K47" s="112"/>
      <c r="L47" s="484">
        <f t="shared" si="15"/>
        <v>0</v>
      </c>
      <c r="M47" s="112"/>
      <c r="N47" s="484">
        <f t="shared" si="3"/>
        <v>0</v>
      </c>
      <c r="O47" s="484">
        <f t="shared" si="4"/>
        <v>0</v>
      </c>
      <c r="P47" s="465"/>
    </row>
    <row r="48" spans="2:16">
      <c r="B48" t="str">
        <f t="shared" si="0"/>
        <v/>
      </c>
      <c r="C48" s="479">
        <f>IF(D11="","-",+C47+1)</f>
        <v>2053</v>
      </c>
      <c r="D48" s="481">
        <f>IF(F47+SUM(E$17:E47)=D$10,F47,D$10-SUM(E$17:E47))</f>
        <v>244348.35149886101</v>
      </c>
      <c r="E48" s="55">
        <f t="shared" si="11"/>
        <v>118195.78818181818</v>
      </c>
      <c r="F48" s="481">
        <f t="shared" si="12"/>
        <v>126152.56331704283</v>
      </c>
      <c r="G48" s="485">
        <f t="shared" si="13"/>
        <v>139454.90353793761</v>
      </c>
      <c r="H48" s="478">
        <f t="shared" si="14"/>
        <v>139454.90353793761</v>
      </c>
      <c r="I48" s="482">
        <f t="shared" si="1"/>
        <v>0</v>
      </c>
      <c r="J48" s="482"/>
      <c r="K48" s="112"/>
      <c r="L48" s="484">
        <f t="shared" si="15"/>
        <v>0</v>
      </c>
      <c r="M48" s="112"/>
      <c r="N48" s="484">
        <f t="shared" si="3"/>
        <v>0</v>
      </c>
      <c r="O48" s="484">
        <f t="shared" si="4"/>
        <v>0</v>
      </c>
      <c r="P48" s="465"/>
    </row>
    <row r="49" spans="2:16">
      <c r="B49" t="str">
        <f t="shared" si="0"/>
        <v/>
      </c>
      <c r="C49" s="479">
        <f>IF(D11="","-",+C48+1)</f>
        <v>2054</v>
      </c>
      <c r="D49" s="481">
        <f>IF(F48+SUM(E$17:E48)=D$10,F48,D$10-SUM(E$17:E48))</f>
        <v>126152.56331704283</v>
      </c>
      <c r="E49" s="55">
        <f t="shared" si="11"/>
        <v>118195.78818181818</v>
      </c>
      <c r="F49" s="481">
        <f t="shared" si="12"/>
        <v>7956.775135224656</v>
      </c>
      <c r="G49" s="485">
        <f t="shared" si="13"/>
        <v>125890.89980632323</v>
      </c>
      <c r="H49" s="478">
        <f t="shared" si="14"/>
        <v>125890.89980632323</v>
      </c>
      <c r="I49" s="482">
        <f t="shared" si="1"/>
        <v>0</v>
      </c>
      <c r="J49" s="482"/>
      <c r="K49" s="112"/>
      <c r="L49" s="484">
        <f t="shared" si="15"/>
        <v>0</v>
      </c>
      <c r="M49" s="112"/>
      <c r="N49" s="484">
        <f t="shared" si="3"/>
        <v>0</v>
      </c>
      <c r="O49" s="484">
        <f t="shared" si="4"/>
        <v>0</v>
      </c>
      <c r="P49" s="465"/>
    </row>
    <row r="50" spans="2:16">
      <c r="B50" t="str">
        <f t="shared" si="0"/>
        <v/>
      </c>
      <c r="C50" s="479">
        <f>IF(D11="","-",+C49+1)</f>
        <v>2055</v>
      </c>
      <c r="D50" s="481">
        <f>IF(F49+SUM(E$17:E49)=D$10,F49,D$10-SUM(E$17:E49))</f>
        <v>7956.775135224656</v>
      </c>
      <c r="E50" s="55">
        <f t="shared" si="11"/>
        <v>7956.775135224656</v>
      </c>
      <c r="F50" s="481">
        <f t="shared" si="12"/>
        <v>0</v>
      </c>
      <c r="G50" s="485">
        <f t="shared" si="13"/>
        <v>8413.3300145735866</v>
      </c>
      <c r="H50" s="478">
        <f t="shared" si="14"/>
        <v>8413.3300145735866</v>
      </c>
      <c r="I50" s="482">
        <f t="shared" si="1"/>
        <v>0</v>
      </c>
      <c r="J50" s="482"/>
      <c r="K50" s="112"/>
      <c r="L50" s="484">
        <f t="shared" si="15"/>
        <v>0</v>
      </c>
      <c r="M50" s="112"/>
      <c r="N50" s="484">
        <f t="shared" si="3"/>
        <v>0</v>
      </c>
      <c r="O50" s="484">
        <f t="shared" si="4"/>
        <v>0</v>
      </c>
      <c r="P50" s="465"/>
    </row>
    <row r="51" spans="2:16">
      <c r="B51" t="str">
        <f t="shared" si="0"/>
        <v/>
      </c>
      <c r="C51" s="479">
        <f>IF(D11="","-",+C50+1)</f>
        <v>2056</v>
      </c>
      <c r="D51" s="481">
        <f>IF(F50+SUM(E$17:E50)=D$10,F50,D$10-SUM(E$17:E50))</f>
        <v>0</v>
      </c>
      <c r="E51" s="55">
        <f t="shared" si="11"/>
        <v>0</v>
      </c>
      <c r="F51" s="481">
        <f t="shared" si="12"/>
        <v>0</v>
      </c>
      <c r="G51" s="485">
        <f t="shared" si="13"/>
        <v>0</v>
      </c>
      <c r="H51" s="478">
        <f t="shared" si="14"/>
        <v>0</v>
      </c>
      <c r="I51" s="482">
        <f t="shared" si="1"/>
        <v>0</v>
      </c>
      <c r="J51" s="482"/>
      <c r="K51" s="112"/>
      <c r="L51" s="484">
        <f t="shared" si="15"/>
        <v>0</v>
      </c>
      <c r="M51" s="112"/>
      <c r="N51" s="484">
        <f t="shared" si="3"/>
        <v>0</v>
      </c>
      <c r="O51" s="484">
        <f t="shared" si="4"/>
        <v>0</v>
      </c>
      <c r="P51" s="465"/>
    </row>
    <row r="52" spans="2:16">
      <c r="B52" t="str">
        <f t="shared" si="0"/>
        <v/>
      </c>
      <c r="C52" s="479">
        <f>IF(D11="","-",+C51+1)</f>
        <v>2057</v>
      </c>
      <c r="D52" s="481">
        <f>IF(F51+SUM(E$17:E51)=D$10,F51,D$10-SUM(E$17:E51))</f>
        <v>0</v>
      </c>
      <c r="E52" s="55">
        <f t="shared" si="11"/>
        <v>0</v>
      </c>
      <c r="F52" s="481">
        <f t="shared" si="12"/>
        <v>0</v>
      </c>
      <c r="G52" s="485">
        <f t="shared" si="13"/>
        <v>0</v>
      </c>
      <c r="H52" s="478">
        <f t="shared" si="14"/>
        <v>0</v>
      </c>
      <c r="I52" s="482">
        <f t="shared" si="1"/>
        <v>0</v>
      </c>
      <c r="J52" s="482"/>
      <c r="K52" s="112"/>
      <c r="L52" s="484">
        <f t="shared" si="15"/>
        <v>0</v>
      </c>
      <c r="M52" s="112"/>
      <c r="N52" s="484">
        <f t="shared" si="3"/>
        <v>0</v>
      </c>
      <c r="O52" s="484">
        <f t="shared" si="4"/>
        <v>0</v>
      </c>
      <c r="P52" s="465"/>
    </row>
    <row r="53" spans="2:16">
      <c r="B53" t="str">
        <f t="shared" si="0"/>
        <v/>
      </c>
      <c r="C53" s="479">
        <f>IF(D11="","-",+C52+1)</f>
        <v>2058</v>
      </c>
      <c r="D53" s="481">
        <f>IF(F52+SUM(E$17:E52)=D$10,F52,D$10-SUM(E$17:E52))</f>
        <v>0</v>
      </c>
      <c r="E53" s="55">
        <f t="shared" si="11"/>
        <v>0</v>
      </c>
      <c r="F53" s="481">
        <f t="shared" si="12"/>
        <v>0</v>
      </c>
      <c r="G53" s="485">
        <f t="shared" si="13"/>
        <v>0</v>
      </c>
      <c r="H53" s="478">
        <f t="shared" si="14"/>
        <v>0</v>
      </c>
      <c r="I53" s="482">
        <f t="shared" si="1"/>
        <v>0</v>
      </c>
      <c r="J53" s="482"/>
      <c r="K53" s="112"/>
      <c r="L53" s="484">
        <f t="shared" si="15"/>
        <v>0</v>
      </c>
      <c r="M53" s="112"/>
      <c r="N53" s="484">
        <f t="shared" si="3"/>
        <v>0</v>
      </c>
      <c r="O53" s="484">
        <f t="shared" si="4"/>
        <v>0</v>
      </c>
      <c r="P53" s="465"/>
    </row>
    <row r="54" spans="2:16">
      <c r="B54" t="str">
        <f t="shared" si="0"/>
        <v/>
      </c>
      <c r="C54" s="479">
        <f>IF(D11="","-",+C53+1)</f>
        <v>2059</v>
      </c>
      <c r="D54" s="481">
        <f>IF(F53+SUM(E$17:E53)=D$10,F53,D$10-SUM(E$17:E53))</f>
        <v>0</v>
      </c>
      <c r="E54" s="55">
        <f t="shared" si="11"/>
        <v>0</v>
      </c>
      <c r="F54" s="481">
        <f t="shared" si="12"/>
        <v>0</v>
      </c>
      <c r="G54" s="485">
        <f t="shared" si="13"/>
        <v>0</v>
      </c>
      <c r="H54" s="478">
        <f t="shared" si="14"/>
        <v>0</v>
      </c>
      <c r="I54" s="482">
        <f t="shared" si="1"/>
        <v>0</v>
      </c>
      <c r="J54" s="482"/>
      <c r="K54" s="112"/>
      <c r="L54" s="484">
        <f t="shared" si="15"/>
        <v>0</v>
      </c>
      <c r="M54" s="112"/>
      <c r="N54" s="484">
        <f t="shared" si="3"/>
        <v>0</v>
      </c>
      <c r="O54" s="484">
        <f t="shared" si="4"/>
        <v>0</v>
      </c>
      <c r="P54" s="465"/>
    </row>
    <row r="55" spans="2:16">
      <c r="B55" t="str">
        <f t="shared" si="0"/>
        <v/>
      </c>
      <c r="C55" s="479">
        <f>IF(D11="","-",+C54+1)</f>
        <v>2060</v>
      </c>
      <c r="D55" s="481">
        <f>IF(F54+SUM(E$17:E54)=D$10,F54,D$10-SUM(E$17:E54))</f>
        <v>0</v>
      </c>
      <c r="E55" s="55">
        <f t="shared" si="11"/>
        <v>0</v>
      </c>
      <c r="F55" s="481">
        <f t="shared" si="12"/>
        <v>0</v>
      </c>
      <c r="G55" s="485">
        <f t="shared" si="13"/>
        <v>0</v>
      </c>
      <c r="H55" s="478">
        <f t="shared" si="14"/>
        <v>0</v>
      </c>
      <c r="I55" s="482">
        <f t="shared" si="1"/>
        <v>0</v>
      </c>
      <c r="J55" s="482"/>
      <c r="K55" s="112"/>
      <c r="L55" s="484">
        <f t="shared" si="15"/>
        <v>0</v>
      </c>
      <c r="M55" s="112"/>
      <c r="N55" s="484">
        <f t="shared" si="3"/>
        <v>0</v>
      </c>
      <c r="O55" s="484">
        <f t="shared" si="4"/>
        <v>0</v>
      </c>
      <c r="P55" s="465"/>
    </row>
    <row r="56" spans="2:16">
      <c r="B56" t="str">
        <f t="shared" si="0"/>
        <v/>
      </c>
      <c r="C56" s="479">
        <f>IF(D11="","-",+C55+1)</f>
        <v>2061</v>
      </c>
      <c r="D56" s="481">
        <f>IF(F55+SUM(E$17:E55)=D$10,F55,D$10-SUM(E$17:E55))</f>
        <v>0</v>
      </c>
      <c r="E56" s="55">
        <f t="shared" si="11"/>
        <v>0</v>
      </c>
      <c r="F56" s="481">
        <f t="shared" si="12"/>
        <v>0</v>
      </c>
      <c r="G56" s="485">
        <f t="shared" si="13"/>
        <v>0</v>
      </c>
      <c r="H56" s="478">
        <f t="shared" si="14"/>
        <v>0</v>
      </c>
      <c r="I56" s="482">
        <f t="shared" si="1"/>
        <v>0</v>
      </c>
      <c r="J56" s="482"/>
      <c r="K56" s="112"/>
      <c r="L56" s="484">
        <f t="shared" si="15"/>
        <v>0</v>
      </c>
      <c r="M56" s="112"/>
      <c r="N56" s="484">
        <f t="shared" si="3"/>
        <v>0</v>
      </c>
      <c r="O56" s="484">
        <f t="shared" si="4"/>
        <v>0</v>
      </c>
      <c r="P56" s="465"/>
    </row>
    <row r="57" spans="2:16">
      <c r="B57" t="str">
        <f t="shared" si="0"/>
        <v/>
      </c>
      <c r="C57" s="479">
        <f>IF(D11="","-",+C56+1)</f>
        <v>2062</v>
      </c>
      <c r="D57" s="481">
        <f>IF(F56+SUM(E$17:E56)=D$10,F56,D$10-SUM(E$17:E56))</f>
        <v>0</v>
      </c>
      <c r="E57" s="55">
        <f t="shared" si="11"/>
        <v>0</v>
      </c>
      <c r="F57" s="481">
        <f t="shared" si="12"/>
        <v>0</v>
      </c>
      <c r="G57" s="485">
        <f t="shared" si="13"/>
        <v>0</v>
      </c>
      <c r="H57" s="478">
        <f t="shared" si="14"/>
        <v>0</v>
      </c>
      <c r="I57" s="482">
        <f t="shared" si="1"/>
        <v>0</v>
      </c>
      <c r="J57" s="482"/>
      <c r="K57" s="112"/>
      <c r="L57" s="484">
        <f t="shared" si="15"/>
        <v>0</v>
      </c>
      <c r="M57" s="112"/>
      <c r="N57" s="484">
        <f t="shared" si="3"/>
        <v>0</v>
      </c>
      <c r="O57" s="484">
        <f t="shared" si="4"/>
        <v>0</v>
      </c>
      <c r="P57" s="465"/>
    </row>
    <row r="58" spans="2:16">
      <c r="B58" t="str">
        <f t="shared" si="0"/>
        <v/>
      </c>
      <c r="C58" s="479">
        <f>IF(D11="","-",+C57+1)</f>
        <v>2063</v>
      </c>
      <c r="D58" s="481">
        <f>IF(F57+SUM(E$17:E57)=D$10,F57,D$10-SUM(E$17:E57))</f>
        <v>0</v>
      </c>
      <c r="E58" s="55">
        <f t="shared" si="11"/>
        <v>0</v>
      </c>
      <c r="F58" s="481">
        <f t="shared" si="12"/>
        <v>0</v>
      </c>
      <c r="G58" s="485">
        <f t="shared" si="13"/>
        <v>0</v>
      </c>
      <c r="H58" s="478">
        <f t="shared" si="14"/>
        <v>0</v>
      </c>
      <c r="I58" s="482">
        <f t="shared" si="1"/>
        <v>0</v>
      </c>
      <c r="J58" s="482"/>
      <c r="K58" s="112"/>
      <c r="L58" s="484">
        <f t="shared" si="15"/>
        <v>0</v>
      </c>
      <c r="M58" s="112"/>
      <c r="N58" s="484">
        <f t="shared" si="3"/>
        <v>0</v>
      </c>
      <c r="O58" s="484">
        <f t="shared" si="4"/>
        <v>0</v>
      </c>
      <c r="P58" s="465"/>
    </row>
    <row r="59" spans="2:16">
      <c r="B59" t="str">
        <f t="shared" si="0"/>
        <v/>
      </c>
      <c r="C59" s="479">
        <f>IF(D11="","-",+C58+1)</f>
        <v>2064</v>
      </c>
      <c r="D59" s="481">
        <f>IF(F58+SUM(E$17:E58)=D$10,F58,D$10-SUM(E$17:E58))</f>
        <v>0</v>
      </c>
      <c r="E59" s="55">
        <f t="shared" si="11"/>
        <v>0</v>
      </c>
      <c r="F59" s="481">
        <f t="shared" si="12"/>
        <v>0</v>
      </c>
      <c r="G59" s="485">
        <f t="shared" si="13"/>
        <v>0</v>
      </c>
      <c r="H59" s="478">
        <f t="shared" si="14"/>
        <v>0</v>
      </c>
      <c r="I59" s="482">
        <f t="shared" si="1"/>
        <v>0</v>
      </c>
      <c r="J59" s="482"/>
      <c r="K59" s="112"/>
      <c r="L59" s="484">
        <f t="shared" si="15"/>
        <v>0</v>
      </c>
      <c r="M59" s="112"/>
      <c r="N59" s="484">
        <f t="shared" si="3"/>
        <v>0</v>
      </c>
      <c r="O59" s="484">
        <f t="shared" si="4"/>
        <v>0</v>
      </c>
      <c r="P59" s="465"/>
    </row>
    <row r="60" spans="2:16">
      <c r="B60" t="str">
        <f t="shared" si="0"/>
        <v/>
      </c>
      <c r="C60" s="479">
        <f>IF(D11="","-",+C59+1)</f>
        <v>2065</v>
      </c>
      <c r="D60" s="481">
        <f>IF(F59+SUM(E$17:E59)=D$10,F59,D$10-SUM(E$17:E59))</f>
        <v>0</v>
      </c>
      <c r="E60" s="55">
        <f t="shared" si="11"/>
        <v>0</v>
      </c>
      <c r="F60" s="481">
        <f t="shared" si="12"/>
        <v>0</v>
      </c>
      <c r="G60" s="485">
        <f t="shared" si="13"/>
        <v>0</v>
      </c>
      <c r="H60" s="478">
        <f t="shared" si="14"/>
        <v>0</v>
      </c>
      <c r="I60" s="482">
        <f t="shared" si="1"/>
        <v>0</v>
      </c>
      <c r="J60" s="482"/>
      <c r="K60" s="112"/>
      <c r="L60" s="484">
        <f t="shared" si="15"/>
        <v>0</v>
      </c>
      <c r="M60" s="112"/>
      <c r="N60" s="484">
        <f t="shared" si="3"/>
        <v>0</v>
      </c>
      <c r="O60" s="484">
        <f t="shared" si="4"/>
        <v>0</v>
      </c>
      <c r="P60" s="465"/>
    </row>
    <row r="61" spans="2:16">
      <c r="B61" t="str">
        <f t="shared" si="0"/>
        <v/>
      </c>
      <c r="C61" s="479">
        <f>IF(D11="","-",+C60+1)</f>
        <v>2066</v>
      </c>
      <c r="D61" s="481">
        <f>IF(F60+SUM(E$17:E60)=D$10,F60,D$10-SUM(E$17:E60))</f>
        <v>0</v>
      </c>
      <c r="E61" s="55">
        <f t="shared" si="11"/>
        <v>0</v>
      </c>
      <c r="F61" s="481">
        <f t="shared" si="12"/>
        <v>0</v>
      </c>
      <c r="G61" s="486">
        <f t="shared" si="13"/>
        <v>0</v>
      </c>
      <c r="H61" s="478">
        <f t="shared" si="14"/>
        <v>0</v>
      </c>
      <c r="I61" s="482">
        <f t="shared" si="1"/>
        <v>0</v>
      </c>
      <c r="J61" s="482"/>
      <c r="K61" s="112"/>
      <c r="L61" s="484">
        <f t="shared" si="15"/>
        <v>0</v>
      </c>
      <c r="M61" s="112"/>
      <c r="N61" s="484">
        <f t="shared" si="3"/>
        <v>0</v>
      </c>
      <c r="O61" s="484">
        <f t="shared" si="4"/>
        <v>0</v>
      </c>
      <c r="P61" s="465"/>
    </row>
    <row r="62" spans="2:16">
      <c r="B62" t="str">
        <f t="shared" si="0"/>
        <v/>
      </c>
      <c r="C62" s="479">
        <f>IF(D11="","-",+C61+1)</f>
        <v>2067</v>
      </c>
      <c r="D62" s="481">
        <f>IF(F61+SUM(E$17:E61)=D$10,F61,D$10-SUM(E$17:E61))</f>
        <v>0</v>
      </c>
      <c r="E62" s="55">
        <f t="shared" si="11"/>
        <v>0</v>
      </c>
      <c r="F62" s="481">
        <f t="shared" si="12"/>
        <v>0</v>
      </c>
      <c r="G62" s="486">
        <f t="shared" si="13"/>
        <v>0</v>
      </c>
      <c r="H62" s="478">
        <f t="shared" si="14"/>
        <v>0</v>
      </c>
      <c r="I62" s="482">
        <f t="shared" si="1"/>
        <v>0</v>
      </c>
      <c r="J62" s="482"/>
      <c r="K62" s="112"/>
      <c r="L62" s="484">
        <f t="shared" si="15"/>
        <v>0</v>
      </c>
      <c r="M62" s="112"/>
      <c r="N62" s="484">
        <f t="shared" si="3"/>
        <v>0</v>
      </c>
      <c r="O62" s="484">
        <f t="shared" si="4"/>
        <v>0</v>
      </c>
      <c r="P62" s="465"/>
    </row>
    <row r="63" spans="2:16">
      <c r="B63" t="str">
        <f t="shared" si="0"/>
        <v/>
      </c>
      <c r="C63" s="479">
        <f>IF(D11="","-",+C62+1)</f>
        <v>2068</v>
      </c>
      <c r="D63" s="481">
        <f>IF(F62+SUM(E$17:E62)=D$10,F62,D$10-SUM(E$17:E62))</f>
        <v>0</v>
      </c>
      <c r="E63" s="55">
        <f t="shared" si="11"/>
        <v>0</v>
      </c>
      <c r="F63" s="481">
        <f t="shared" si="12"/>
        <v>0</v>
      </c>
      <c r="G63" s="486">
        <f t="shared" si="13"/>
        <v>0</v>
      </c>
      <c r="H63" s="478">
        <f t="shared" si="14"/>
        <v>0</v>
      </c>
      <c r="I63" s="482">
        <f t="shared" si="1"/>
        <v>0</v>
      </c>
      <c r="J63" s="482"/>
      <c r="K63" s="112"/>
      <c r="L63" s="484">
        <f t="shared" si="15"/>
        <v>0</v>
      </c>
      <c r="M63" s="112"/>
      <c r="N63" s="484">
        <f t="shared" si="3"/>
        <v>0</v>
      </c>
      <c r="O63" s="484">
        <f t="shared" si="4"/>
        <v>0</v>
      </c>
      <c r="P63" s="465"/>
    </row>
    <row r="64" spans="2:16">
      <c r="B64" t="str">
        <f t="shared" si="0"/>
        <v/>
      </c>
      <c r="C64" s="479">
        <f>IF(D11="","-",+C63+1)</f>
        <v>2069</v>
      </c>
      <c r="D64" s="481">
        <f>IF(F63+SUM(E$17:E63)=D$10,F63,D$10-SUM(E$17:E63))</f>
        <v>0</v>
      </c>
      <c r="E64" s="55">
        <f t="shared" si="11"/>
        <v>0</v>
      </c>
      <c r="F64" s="481">
        <f t="shared" si="12"/>
        <v>0</v>
      </c>
      <c r="G64" s="486">
        <f t="shared" si="13"/>
        <v>0</v>
      </c>
      <c r="H64" s="478">
        <f t="shared" si="14"/>
        <v>0</v>
      </c>
      <c r="I64" s="482">
        <f t="shared" si="1"/>
        <v>0</v>
      </c>
      <c r="J64" s="482"/>
      <c r="K64" s="112"/>
      <c r="L64" s="484">
        <f t="shared" si="15"/>
        <v>0</v>
      </c>
      <c r="M64" s="112"/>
      <c r="N64" s="484">
        <f t="shared" si="3"/>
        <v>0</v>
      </c>
      <c r="O64" s="484">
        <f t="shared" si="4"/>
        <v>0</v>
      </c>
      <c r="P64" s="465"/>
    </row>
    <row r="65" spans="2:16">
      <c r="B65" t="str">
        <f t="shared" si="0"/>
        <v/>
      </c>
      <c r="C65" s="479">
        <f>IF(D11="","-",+C64+1)</f>
        <v>2070</v>
      </c>
      <c r="D65" s="481">
        <f>IF(F64+SUM(E$17:E64)=D$10,F64,D$10-SUM(E$17:E64))</f>
        <v>0</v>
      </c>
      <c r="E65" s="55">
        <f t="shared" si="11"/>
        <v>0</v>
      </c>
      <c r="F65" s="481">
        <f t="shared" si="12"/>
        <v>0</v>
      </c>
      <c r="G65" s="486">
        <f t="shared" si="13"/>
        <v>0</v>
      </c>
      <c r="H65" s="478">
        <f t="shared" si="14"/>
        <v>0</v>
      </c>
      <c r="I65" s="482">
        <f t="shared" si="1"/>
        <v>0</v>
      </c>
      <c r="J65" s="482"/>
      <c r="K65" s="112"/>
      <c r="L65" s="484">
        <f t="shared" si="15"/>
        <v>0</v>
      </c>
      <c r="M65" s="112"/>
      <c r="N65" s="484">
        <f t="shared" si="3"/>
        <v>0</v>
      </c>
      <c r="O65" s="484">
        <f t="shared" si="4"/>
        <v>0</v>
      </c>
      <c r="P65" s="465"/>
    </row>
    <row r="66" spans="2:16">
      <c r="B66" t="str">
        <f t="shared" si="0"/>
        <v/>
      </c>
      <c r="C66" s="479">
        <f>IF(D11="","-",+C65+1)</f>
        <v>2071</v>
      </c>
      <c r="D66" s="481">
        <f>IF(F65+SUM(E$17:E65)=D$10,F65,D$10-SUM(E$17:E65))</f>
        <v>0</v>
      </c>
      <c r="E66" s="55">
        <f t="shared" si="11"/>
        <v>0</v>
      </c>
      <c r="F66" s="481">
        <f t="shared" si="12"/>
        <v>0</v>
      </c>
      <c r="G66" s="486">
        <f t="shared" si="13"/>
        <v>0</v>
      </c>
      <c r="H66" s="478">
        <f t="shared" si="14"/>
        <v>0</v>
      </c>
      <c r="I66" s="482">
        <f t="shared" si="1"/>
        <v>0</v>
      </c>
      <c r="J66" s="482"/>
      <c r="K66" s="112"/>
      <c r="L66" s="484">
        <f t="shared" si="15"/>
        <v>0</v>
      </c>
      <c r="M66" s="112"/>
      <c r="N66" s="484">
        <f t="shared" si="3"/>
        <v>0</v>
      </c>
      <c r="O66" s="484">
        <f t="shared" si="4"/>
        <v>0</v>
      </c>
      <c r="P66" s="465"/>
    </row>
    <row r="67" spans="2:16">
      <c r="B67" t="str">
        <f t="shared" si="0"/>
        <v/>
      </c>
      <c r="C67" s="479">
        <f>IF(D11="","-",+C66+1)</f>
        <v>2072</v>
      </c>
      <c r="D67" s="481">
        <f>IF(F66+SUM(E$17:E66)=D$10,F66,D$10-SUM(E$17:E66))</f>
        <v>0</v>
      </c>
      <c r="E67" s="55">
        <f t="shared" si="11"/>
        <v>0</v>
      </c>
      <c r="F67" s="481">
        <f t="shared" si="12"/>
        <v>0</v>
      </c>
      <c r="G67" s="486">
        <f t="shared" si="13"/>
        <v>0</v>
      </c>
      <c r="H67" s="478">
        <f t="shared" si="14"/>
        <v>0</v>
      </c>
      <c r="I67" s="482">
        <f t="shared" si="1"/>
        <v>0</v>
      </c>
      <c r="J67" s="482"/>
      <c r="K67" s="112"/>
      <c r="L67" s="484">
        <f t="shared" si="15"/>
        <v>0</v>
      </c>
      <c r="M67" s="112"/>
      <c r="N67" s="484">
        <f t="shared" si="3"/>
        <v>0</v>
      </c>
      <c r="O67" s="484">
        <f t="shared" si="4"/>
        <v>0</v>
      </c>
      <c r="P67" s="465"/>
    </row>
    <row r="68" spans="2:16">
      <c r="B68" t="str">
        <f t="shared" si="0"/>
        <v/>
      </c>
      <c r="C68" s="479">
        <f>IF(D11="","-",+C67+1)</f>
        <v>2073</v>
      </c>
      <c r="D68" s="481">
        <f>IF(F67+SUM(E$17:E67)=D$10,F67,D$10-SUM(E$17:E67))</f>
        <v>0</v>
      </c>
      <c r="E68" s="55">
        <f t="shared" si="11"/>
        <v>0</v>
      </c>
      <c r="F68" s="481">
        <f t="shared" si="12"/>
        <v>0</v>
      </c>
      <c r="G68" s="486">
        <f t="shared" si="13"/>
        <v>0</v>
      </c>
      <c r="H68" s="478">
        <f t="shared" si="14"/>
        <v>0</v>
      </c>
      <c r="I68" s="482">
        <f t="shared" si="1"/>
        <v>0</v>
      </c>
      <c r="J68" s="482"/>
      <c r="K68" s="112"/>
      <c r="L68" s="484">
        <f t="shared" si="15"/>
        <v>0</v>
      </c>
      <c r="M68" s="112"/>
      <c r="N68" s="484">
        <f t="shared" si="3"/>
        <v>0</v>
      </c>
      <c r="O68" s="484">
        <f t="shared" si="4"/>
        <v>0</v>
      </c>
      <c r="P68" s="465"/>
    </row>
    <row r="69" spans="2:16">
      <c r="B69" t="str">
        <f t="shared" si="0"/>
        <v/>
      </c>
      <c r="C69" s="479">
        <f>IF(D11="","-",+C68+1)</f>
        <v>2074</v>
      </c>
      <c r="D69" s="481">
        <f>IF(F68+SUM(E$17:E68)=D$10,F68,D$10-SUM(E$17:E68))</f>
        <v>0</v>
      </c>
      <c r="E69" s="55">
        <f t="shared" si="11"/>
        <v>0</v>
      </c>
      <c r="F69" s="481">
        <f t="shared" si="12"/>
        <v>0</v>
      </c>
      <c r="G69" s="486">
        <f t="shared" si="13"/>
        <v>0</v>
      </c>
      <c r="H69" s="478">
        <f t="shared" si="14"/>
        <v>0</v>
      </c>
      <c r="I69" s="482">
        <f t="shared" si="1"/>
        <v>0</v>
      </c>
      <c r="J69" s="482"/>
      <c r="K69" s="112"/>
      <c r="L69" s="484">
        <f t="shared" si="15"/>
        <v>0</v>
      </c>
      <c r="M69" s="112"/>
      <c r="N69" s="484">
        <f t="shared" si="3"/>
        <v>0</v>
      </c>
      <c r="O69" s="484">
        <f t="shared" si="4"/>
        <v>0</v>
      </c>
      <c r="P69" s="465"/>
    </row>
    <row r="70" spans="2:16">
      <c r="B70" t="str">
        <f t="shared" si="0"/>
        <v/>
      </c>
      <c r="C70" s="479">
        <f>IF(D11="","-",+C69+1)</f>
        <v>2075</v>
      </c>
      <c r="D70" s="481">
        <f>IF(F69+SUM(E$17:E69)=D$10,F69,D$10-SUM(E$17:E69))</f>
        <v>0</v>
      </c>
      <c r="E70" s="55">
        <f t="shared" si="11"/>
        <v>0</v>
      </c>
      <c r="F70" s="481">
        <f t="shared" si="12"/>
        <v>0</v>
      </c>
      <c r="G70" s="486">
        <f t="shared" si="13"/>
        <v>0</v>
      </c>
      <c r="H70" s="478">
        <f t="shared" si="14"/>
        <v>0</v>
      </c>
      <c r="I70" s="482">
        <f t="shared" si="1"/>
        <v>0</v>
      </c>
      <c r="J70" s="482"/>
      <c r="K70" s="112"/>
      <c r="L70" s="484">
        <f t="shared" si="15"/>
        <v>0</v>
      </c>
      <c r="M70" s="112"/>
      <c r="N70" s="484">
        <f t="shared" si="3"/>
        <v>0</v>
      </c>
      <c r="O70" s="484">
        <f t="shared" si="4"/>
        <v>0</v>
      </c>
      <c r="P70" s="465"/>
    </row>
    <row r="71" spans="2:16">
      <c r="B71" t="str">
        <f t="shared" si="0"/>
        <v/>
      </c>
      <c r="C71" s="479">
        <f>IF(D11="","-",+C70+1)</f>
        <v>2076</v>
      </c>
      <c r="D71" s="481">
        <f>IF(F70+SUM(E$17:E70)=D$10,F70,D$10-SUM(E$17:E70))</f>
        <v>0</v>
      </c>
      <c r="E71" s="55">
        <f t="shared" si="11"/>
        <v>0</v>
      </c>
      <c r="F71" s="481">
        <f t="shared" si="12"/>
        <v>0</v>
      </c>
      <c r="G71" s="486">
        <f t="shared" si="13"/>
        <v>0</v>
      </c>
      <c r="H71" s="478">
        <f t="shared" si="14"/>
        <v>0</v>
      </c>
      <c r="I71" s="482">
        <f t="shared" si="1"/>
        <v>0</v>
      </c>
      <c r="J71" s="482"/>
      <c r="K71" s="112"/>
      <c r="L71" s="484">
        <f t="shared" si="15"/>
        <v>0</v>
      </c>
      <c r="M71" s="112"/>
      <c r="N71" s="484">
        <f t="shared" si="3"/>
        <v>0</v>
      </c>
      <c r="O71" s="484">
        <f t="shared" si="4"/>
        <v>0</v>
      </c>
      <c r="P71" s="465"/>
    </row>
    <row r="72" spans="2:16">
      <c r="C72" s="479">
        <f>IF(D12="","-",+C71+1)</f>
        <v>2077</v>
      </c>
      <c r="D72" s="481">
        <f>IF(F71+SUM(E$17:E71)=D$10,F71,D$10-SUM(E$17:E71))</f>
        <v>0</v>
      </c>
      <c r="E72" s="55">
        <f>IF(+I$14&lt;F71,I$14,D72)</f>
        <v>0</v>
      </c>
      <c r="F72" s="481">
        <f>+D72-E72</f>
        <v>0</v>
      </c>
      <c r="G72" s="486">
        <f>(D72+F72)/2*I$12+E72</f>
        <v>0</v>
      </c>
      <c r="H72" s="478">
        <f>+(D72+F72)/2*I$13+E72</f>
        <v>0</v>
      </c>
      <c r="I72" s="482">
        <f>H72-G72</f>
        <v>0</v>
      </c>
      <c r="J72" s="482"/>
      <c r="K72" s="112"/>
      <c r="L72" s="484">
        <f>IF(K72&lt;&gt;0,+G72-K72,0)</f>
        <v>0</v>
      </c>
      <c r="M72" s="112"/>
      <c r="N72" s="484">
        <f>IF(M72&lt;&gt;0,+H72-M72,0)</f>
        <v>0</v>
      </c>
      <c r="O72" s="484">
        <f>+N72-L72</f>
        <v>0</v>
      </c>
      <c r="P72" s="465"/>
    </row>
    <row r="73" spans="2:16" ht="13.5" thickBot="1">
      <c r="B73" t="str">
        <f>IF(D73=F71,"","IU")</f>
        <v/>
      </c>
      <c r="C73" s="487">
        <f>IF(D13="","-",+C72+1)</f>
        <v>2078</v>
      </c>
      <c r="D73" s="60">
        <f>IF(F72+SUM(E$17:E72)=D$10,F72,D$10-SUM(E$17:E72))</f>
        <v>0</v>
      </c>
      <c r="E73" s="60">
        <f>IF(+I$14&lt;F72,I$14,D73)</f>
        <v>0</v>
      </c>
      <c r="F73" s="488">
        <f>+D73-E73</f>
        <v>0</v>
      </c>
      <c r="G73" s="489">
        <f>(D73+F73)/2*I$12+E73</f>
        <v>0</v>
      </c>
      <c r="H73" s="471">
        <f>+(D73+F73)/2*I$13+E73</f>
        <v>0</v>
      </c>
      <c r="I73" s="490">
        <f>H73-G73</f>
        <v>0</v>
      </c>
      <c r="J73" s="482"/>
      <c r="K73" s="113"/>
      <c r="L73" s="491">
        <f>IF(K73&lt;&gt;0,+G73-K73,0)</f>
        <v>0</v>
      </c>
      <c r="M73" s="113"/>
      <c r="N73" s="491">
        <f>IF(M73&lt;&gt;0,+H73-M73,0)</f>
        <v>0</v>
      </c>
      <c r="O73" s="491">
        <f>+N73-L73</f>
        <v>0</v>
      </c>
      <c r="P73" s="465"/>
    </row>
    <row r="74" spans="2:16">
      <c r="C74" s="480" t="s">
        <v>75</v>
      </c>
      <c r="D74" s="468"/>
      <c r="E74" s="468">
        <f>SUM(E17:E73)</f>
        <v>3900461.0099999993</v>
      </c>
      <c r="F74" s="468"/>
      <c r="G74" s="468">
        <f>SUM(G17:G73)</f>
        <v>11248390.480746081</v>
      </c>
      <c r="H74" s="468">
        <f>SUM(H17:H73)</f>
        <v>11248390.480746081</v>
      </c>
      <c r="I74" s="468">
        <f>SUM(I17:I73)</f>
        <v>0</v>
      </c>
      <c r="J74" s="468"/>
      <c r="K74" s="468"/>
      <c r="L74" s="468"/>
      <c r="M74" s="468"/>
      <c r="N74" s="468"/>
      <c r="O74" s="465"/>
      <c r="P74" s="465"/>
    </row>
    <row r="75" spans="2:16">
      <c r="D75" s="466"/>
      <c r="E75" s="465"/>
      <c r="F75" s="465"/>
      <c r="G75" s="465"/>
      <c r="H75" s="467"/>
      <c r="I75" s="467"/>
      <c r="J75" s="468"/>
      <c r="K75" s="467"/>
      <c r="L75" s="467"/>
      <c r="M75" s="467"/>
      <c r="N75" s="467"/>
      <c r="O75" s="465"/>
      <c r="P75" s="465"/>
    </row>
    <row r="76" spans="2:16">
      <c r="C76" s="29" t="s">
        <v>95</v>
      </c>
      <c r="D76" s="466"/>
      <c r="E76" s="465"/>
      <c r="F76" s="465"/>
      <c r="G76" s="465"/>
      <c r="H76" s="467"/>
      <c r="I76" s="467"/>
      <c r="J76" s="468"/>
      <c r="K76" s="467"/>
      <c r="L76" s="467"/>
      <c r="M76" s="467"/>
      <c r="N76" s="467"/>
      <c r="O76" s="465"/>
      <c r="P76" s="465"/>
    </row>
    <row r="77" spans="2:16">
      <c r="C77" s="25" t="s">
        <v>76</v>
      </c>
      <c r="D77" s="466"/>
      <c r="E77" s="465"/>
      <c r="F77" s="465"/>
      <c r="G77" s="465"/>
      <c r="H77" s="467"/>
      <c r="I77" s="467"/>
      <c r="J77" s="468"/>
      <c r="K77" s="467"/>
      <c r="L77" s="467"/>
      <c r="M77" s="467"/>
      <c r="N77" s="467"/>
      <c r="O77" s="465"/>
      <c r="P77" s="465"/>
    </row>
    <row r="78" spans="2:16">
      <c r="C78" s="25" t="s">
        <v>77</v>
      </c>
      <c r="D78" s="480"/>
      <c r="E78" s="480"/>
      <c r="F78" s="480"/>
      <c r="G78" s="468"/>
      <c r="H78" s="468"/>
      <c r="I78" s="492"/>
      <c r="J78" s="492"/>
      <c r="K78" s="492"/>
      <c r="L78" s="492"/>
      <c r="M78" s="492"/>
      <c r="N78" s="492"/>
      <c r="O78" s="465"/>
      <c r="P78" s="465"/>
    </row>
    <row r="79" spans="2:16">
      <c r="C79" s="25"/>
      <c r="D79" s="480"/>
      <c r="E79" s="480"/>
      <c r="F79" s="480"/>
      <c r="G79" s="468"/>
      <c r="H79" s="468"/>
      <c r="I79" s="492"/>
      <c r="J79" s="492"/>
      <c r="K79" s="492"/>
      <c r="L79" s="492"/>
      <c r="M79" s="492"/>
      <c r="N79" s="492"/>
      <c r="O79" s="465"/>
      <c r="P79" s="465"/>
    </row>
    <row r="80" spans="2:16">
      <c r="B80" s="465"/>
      <c r="C80" s="465"/>
      <c r="D80" s="466"/>
      <c r="E80" s="465"/>
      <c r="F80" s="480"/>
      <c r="G80" s="465"/>
      <c r="H80" s="467"/>
      <c r="I80" s="465"/>
      <c r="J80" s="465"/>
      <c r="K80" s="465"/>
      <c r="L80" s="465"/>
      <c r="M80" s="465"/>
      <c r="N80" s="465"/>
      <c r="O80" s="465"/>
      <c r="P80" s="465"/>
    </row>
    <row r="81" spans="1:16" ht="18">
      <c r="B81" s="465"/>
      <c r="C81" s="493"/>
      <c r="D81" s="466"/>
      <c r="E81" s="465"/>
      <c r="F81" s="480"/>
      <c r="G81" s="465"/>
      <c r="H81" s="467"/>
      <c r="I81" s="465"/>
      <c r="J81" s="465"/>
      <c r="K81" s="465"/>
      <c r="L81" s="465"/>
      <c r="M81" s="465"/>
      <c r="N81" s="465"/>
      <c r="P81" s="94" t="s">
        <v>128</v>
      </c>
    </row>
    <row r="82" spans="1:16">
      <c r="B82" s="465"/>
      <c r="C82" s="465"/>
      <c r="D82" s="466"/>
      <c r="E82" s="465"/>
      <c r="F82" s="480"/>
      <c r="G82" s="465"/>
      <c r="H82" s="467"/>
      <c r="I82" s="465"/>
      <c r="J82" s="465"/>
      <c r="K82" s="465"/>
      <c r="L82" s="465"/>
      <c r="M82" s="465"/>
      <c r="N82" s="465"/>
      <c r="O82" s="465"/>
      <c r="P82" s="465"/>
    </row>
    <row r="83" spans="1:16">
      <c r="B83" s="465"/>
      <c r="C83" s="465"/>
      <c r="D83" s="466"/>
      <c r="E83" s="465"/>
      <c r="F83" s="480"/>
      <c r="G83" s="465"/>
      <c r="H83" s="467"/>
      <c r="I83" s="465"/>
      <c r="J83" s="465"/>
      <c r="K83" s="465"/>
      <c r="L83" s="465"/>
      <c r="M83" s="465"/>
      <c r="N83" s="465"/>
      <c r="O83" s="465"/>
      <c r="P83" s="465"/>
    </row>
    <row r="84" spans="1:16" ht="20.25">
      <c r="A84" s="93" t="s">
        <v>190</v>
      </c>
      <c r="B84" s="465"/>
      <c r="C84" s="465"/>
      <c r="D84" s="466"/>
      <c r="E84" s="465"/>
      <c r="F84" s="280"/>
      <c r="G84" s="280"/>
      <c r="H84" s="465"/>
      <c r="I84" s="467"/>
      <c r="L84" s="12"/>
      <c r="M84" s="12"/>
      <c r="P84" s="12" t="str">
        <f ca="1">P1</f>
        <v>OKT Project 21 of 26</v>
      </c>
    </row>
    <row r="85" spans="1:16" ht="18">
      <c r="B85" s="465"/>
      <c r="C85" s="465"/>
      <c r="D85" s="466"/>
      <c r="E85" s="465"/>
      <c r="F85" s="465"/>
      <c r="G85" s="465"/>
      <c r="H85" s="465"/>
      <c r="I85" s="467"/>
      <c r="J85" s="465"/>
      <c r="K85" s="465"/>
      <c r="L85" s="465"/>
      <c r="M85" s="465"/>
      <c r="P85" s="99" t="s">
        <v>132</v>
      </c>
    </row>
    <row r="86" spans="1:16" ht="18.75" thickBot="1">
      <c r="B86" s="4" t="s">
        <v>42</v>
      </c>
      <c r="C86" s="66" t="s">
        <v>81</v>
      </c>
      <c r="D86" s="466"/>
      <c r="E86" s="465"/>
      <c r="F86" s="465"/>
      <c r="G86" s="465"/>
      <c r="H86" s="465"/>
      <c r="I86" s="467"/>
      <c r="J86" s="467"/>
      <c r="K86" s="468"/>
      <c r="L86" s="467"/>
      <c r="M86" s="467"/>
      <c r="N86" s="467"/>
      <c r="O86" s="468"/>
      <c r="P86" s="465"/>
    </row>
    <row r="87" spans="1:16" ht="15.75" thickBot="1">
      <c r="C87" s="8"/>
      <c r="D87" s="466"/>
      <c r="E87" s="465"/>
      <c r="F87" s="465"/>
      <c r="G87" s="465"/>
      <c r="H87" s="465"/>
      <c r="I87" s="467"/>
      <c r="J87" s="467"/>
      <c r="K87" s="468"/>
      <c r="L87" s="100">
        <f>+J93</f>
        <v>2025</v>
      </c>
      <c r="M87" s="494" t="s">
        <v>9</v>
      </c>
      <c r="N87" s="495" t="s">
        <v>134</v>
      </c>
      <c r="O87" s="496" t="s">
        <v>11</v>
      </c>
      <c r="P87" s="465"/>
    </row>
    <row r="88" spans="1:16" ht="15">
      <c r="C88" s="90" t="s">
        <v>44</v>
      </c>
      <c r="D88" s="466"/>
      <c r="E88" s="465"/>
      <c r="F88" s="465"/>
      <c r="G88" s="465"/>
      <c r="H88" s="15"/>
      <c r="I88" s="465" t="s">
        <v>45</v>
      </c>
      <c r="J88" s="465"/>
      <c r="K88" s="104"/>
      <c r="L88" s="497" t="s">
        <v>253</v>
      </c>
      <c r="M88" s="67">
        <f>IF(J93&lt;D11,0,VLOOKUP(J93,C17:O73,9))</f>
        <v>529765.47986001836</v>
      </c>
      <c r="N88" s="67">
        <f>IF(J93&lt;D11,0,VLOOKUP(J93,C17:O73,11))</f>
        <v>529765.47986001836</v>
      </c>
      <c r="O88" s="498">
        <f>+N88-M88</f>
        <v>0</v>
      </c>
      <c r="P88" s="465"/>
    </row>
    <row r="89" spans="1:16" ht="15.75">
      <c r="C89" s="6"/>
      <c r="D89" s="466"/>
      <c r="E89" s="465"/>
      <c r="F89" s="465"/>
      <c r="G89" s="465"/>
      <c r="H89" s="465"/>
      <c r="I89" s="20"/>
      <c r="J89" s="20"/>
      <c r="K89" s="106"/>
      <c r="L89" s="499" t="s">
        <v>254</v>
      </c>
      <c r="M89" s="69">
        <f>IF(J93&lt;D11,0,VLOOKUP(J93,C100:P155,6))</f>
        <v>576500.91782278859</v>
      </c>
      <c r="N89" s="69">
        <f>IF(J93&lt;D11,0,VLOOKUP(J93,C100:P155,7))</f>
        <v>576500.91782278859</v>
      </c>
      <c r="O89" s="500">
        <f>+N89-M89</f>
        <v>0</v>
      </c>
      <c r="P89" s="465"/>
    </row>
    <row r="90" spans="1:16" ht="13.5" thickBot="1">
      <c r="C90" s="25" t="s">
        <v>82</v>
      </c>
      <c r="D90" s="96" t="str">
        <f>+D7</f>
        <v>Tulsa SE - S Hudson 138 kV</v>
      </c>
      <c r="E90" s="465"/>
      <c r="F90" s="465"/>
      <c r="G90" s="465"/>
      <c r="H90" s="465"/>
      <c r="I90" s="467"/>
      <c r="J90" s="467"/>
      <c r="K90" s="108"/>
      <c r="L90" s="501" t="s">
        <v>135</v>
      </c>
      <c r="M90" s="72">
        <f>+M89-M88</f>
        <v>46735.437962770229</v>
      </c>
      <c r="N90" s="72">
        <f>+N89-N88</f>
        <v>46735.437962770229</v>
      </c>
      <c r="O90" s="73">
        <f>+O89-O88</f>
        <v>0</v>
      </c>
      <c r="P90" s="465"/>
    </row>
    <row r="91" spans="1:16" ht="13.5" thickBot="1">
      <c r="C91" s="29"/>
      <c r="D91" s="65" t="str">
        <f>IF(D8="","",D8)</f>
        <v/>
      </c>
      <c r="E91" s="480"/>
      <c r="F91" s="480"/>
      <c r="G91" s="480"/>
      <c r="H91" s="472"/>
      <c r="I91" s="467"/>
      <c r="J91" s="467"/>
      <c r="K91" s="468"/>
      <c r="L91" s="467"/>
      <c r="M91" s="467"/>
      <c r="N91" s="467"/>
      <c r="O91" s="468"/>
      <c r="P91" s="465"/>
    </row>
    <row r="92" spans="1:16" ht="13.5" thickBot="1">
      <c r="C92" s="502" t="s">
        <v>83</v>
      </c>
      <c r="D92" s="88" t="str">
        <f>+D9</f>
        <v>TP2020033</v>
      </c>
      <c r="E92" s="75" t="str">
        <f>E9</f>
        <v xml:space="preserve">  SPP Project ID = 81520</v>
      </c>
      <c r="F92" s="75"/>
      <c r="G92" s="75"/>
      <c r="H92" s="75"/>
      <c r="I92" s="75"/>
      <c r="J92" s="75"/>
    </row>
    <row r="93" spans="1:16">
      <c r="C93" s="474" t="s">
        <v>49</v>
      </c>
      <c r="D93" s="503">
        <v>3900461.01</v>
      </c>
      <c r="E93" s="465" t="s">
        <v>84</v>
      </c>
      <c r="H93" s="466"/>
      <c r="I93" s="466"/>
      <c r="J93" s="36">
        <f>+'OKT.WS.G.BPU.ATRR.True-up'!M16</f>
        <v>2025</v>
      </c>
      <c r="K93" s="33"/>
      <c r="L93" s="468" t="s">
        <v>85</v>
      </c>
      <c r="P93" s="465"/>
    </row>
    <row r="94" spans="1:16">
      <c r="C94" s="474" t="s">
        <v>52</v>
      </c>
      <c r="D94" s="504">
        <f>IF(D11="","",D11)</f>
        <v>2022</v>
      </c>
      <c r="E94" s="474" t="s">
        <v>53</v>
      </c>
      <c r="F94" s="466"/>
      <c r="G94" s="466"/>
      <c r="J94" s="475">
        <v>0</v>
      </c>
      <c r="K94" s="476"/>
      <c r="L94" t="str">
        <f>"          INPUT TRUE-UP ARR (WITH &amp; WITHOUT INCENTIVES) FROM EACH PRIOR YEAR"</f>
        <v xml:space="preserve">          INPUT TRUE-UP ARR (WITH &amp; WITHOUT INCENTIVES) FROM EACH PRIOR YEAR</v>
      </c>
      <c r="P94" s="465"/>
    </row>
    <row r="95" spans="1:16">
      <c r="C95" s="474" t="s">
        <v>54</v>
      </c>
      <c r="D95" s="504">
        <f>IF(D12="","",D12)</f>
        <v>6</v>
      </c>
      <c r="E95" s="474" t="s">
        <v>55</v>
      </c>
      <c r="F95" s="466"/>
      <c r="G95" s="466"/>
      <c r="J95" s="477">
        <v>0.11475877389767174</v>
      </c>
      <c r="K95" s="280"/>
      <c r="L95" t="s">
        <v>86</v>
      </c>
      <c r="P95" s="465"/>
    </row>
    <row r="96" spans="1:16">
      <c r="C96" s="474" t="s">
        <v>57</v>
      </c>
      <c r="D96" s="475">
        <v>21</v>
      </c>
      <c r="E96" s="474" t="s">
        <v>58</v>
      </c>
      <c r="F96" s="466"/>
      <c r="G96" s="466"/>
      <c r="J96" s="477">
        <v>0.11475877389767174</v>
      </c>
      <c r="K96" s="280"/>
      <c r="L96" s="468" t="s">
        <v>59</v>
      </c>
      <c r="M96" s="280"/>
      <c r="N96" s="280"/>
      <c r="O96" s="280"/>
      <c r="P96" s="465"/>
    </row>
    <row r="97" spans="1:16" ht="13.5" thickBot="1">
      <c r="C97" s="474" t="s">
        <v>60</v>
      </c>
      <c r="D97" s="505" t="str">
        <f>+D14</f>
        <v>No</v>
      </c>
      <c r="E97" s="506" t="s">
        <v>62</v>
      </c>
      <c r="F97" s="507"/>
      <c r="G97" s="507"/>
      <c r="H97" s="77"/>
      <c r="I97" s="77"/>
      <c r="J97" s="471">
        <f>IF(D93=0,0,D93/D96)</f>
        <v>185736.23857142855</v>
      </c>
      <c r="K97" s="468"/>
      <c r="L97" s="468"/>
      <c r="M97" s="468"/>
      <c r="N97" s="468"/>
      <c r="O97" s="468"/>
      <c r="P97" s="465"/>
    </row>
    <row r="98" spans="1:16" ht="38.25">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3.5" thickBot="1">
      <c r="B100" t="str">
        <f t="shared" ref="B100:B155" si="16">IF(D100=F99,"","IU")</f>
        <v>IU</v>
      </c>
      <c r="C100" s="479">
        <f>IF(D94= "","-",D94)</f>
        <v>2022</v>
      </c>
      <c r="D100" s="512">
        <v>0</v>
      </c>
      <c r="E100" s="512">
        <v>31024.088650793652</v>
      </c>
      <c r="F100" s="512">
        <v>3878011.0813492062</v>
      </c>
      <c r="G100" s="512">
        <v>1939005.5406746031</v>
      </c>
      <c r="H100" s="512">
        <v>253541.98707940316</v>
      </c>
      <c r="I100" s="512">
        <v>253541.98707940316</v>
      </c>
      <c r="J100" s="484">
        <f t="shared" ref="J100:J131" si="17">+I100-H100</f>
        <v>0</v>
      </c>
      <c r="K100" s="484"/>
      <c r="L100" s="376">
        <f>+H100</f>
        <v>253541.98707940316</v>
      </c>
      <c r="M100" s="484">
        <f t="shared" ref="M100:M131" si="18">IF(L100&lt;&gt;0,+H100-L100,0)</f>
        <v>0</v>
      </c>
      <c r="N100" s="376">
        <f>+I100</f>
        <v>253541.98707940316</v>
      </c>
      <c r="O100" s="483">
        <f t="shared" ref="O100:O131" si="19">IF(N100&lt;&gt;0,+I100-N100,0)</f>
        <v>0</v>
      </c>
      <c r="P100" s="483">
        <f t="shared" ref="P100:P131" si="20">+O100-M100</f>
        <v>0</v>
      </c>
    </row>
    <row r="101" spans="1:16" ht="13.5" thickBot="1">
      <c r="B101" t="str">
        <f t="shared" si="16"/>
        <v>IU</v>
      </c>
      <c r="C101" s="479">
        <f>IF(D94="","-",+C100+1)</f>
        <v>2023</v>
      </c>
      <c r="D101" s="512">
        <v>3869436.921349206</v>
      </c>
      <c r="E101" s="512">
        <v>185736.23857142855</v>
      </c>
      <c r="F101" s="512">
        <v>3683700.6827777773</v>
      </c>
      <c r="G101" s="512">
        <v>3776568.8020634917</v>
      </c>
      <c r="H101" s="512">
        <v>619130.64383643377</v>
      </c>
      <c r="I101" s="512">
        <v>619130.64383643377</v>
      </c>
      <c r="J101" s="484">
        <f t="shared" si="17"/>
        <v>0</v>
      </c>
      <c r="K101" s="484"/>
      <c r="L101" s="376">
        <f>+H101</f>
        <v>619130.64383643377</v>
      </c>
      <c r="M101" s="484">
        <f t="shared" ref="M101" si="21">IF(L101&lt;&gt;0,+H101-L101,0)</f>
        <v>0</v>
      </c>
      <c r="N101" s="376">
        <f>+I101</f>
        <v>619130.64383643377</v>
      </c>
      <c r="O101" s="483">
        <f t="shared" ref="O101" si="22">IF(N101&lt;&gt;0,+I101-N101,0)</f>
        <v>0</v>
      </c>
      <c r="P101" s="483">
        <f t="shared" ref="P101" si="23">+O101-M101</f>
        <v>0</v>
      </c>
    </row>
    <row r="102" spans="1:16">
      <c r="B102" t="str">
        <f t="shared" si="16"/>
        <v/>
      </c>
      <c r="C102" s="479">
        <f>IF(D94="","-",+C101+1)</f>
        <v>2024</v>
      </c>
      <c r="D102" s="512">
        <v>3683700.6827777773</v>
      </c>
      <c r="E102" s="512">
        <v>185736.23857142855</v>
      </c>
      <c r="F102" s="512">
        <v>3497964.4442063486</v>
      </c>
      <c r="G102" s="512">
        <v>3590832.563492063</v>
      </c>
      <c r="H102" s="512">
        <v>597815.78082961123</v>
      </c>
      <c r="I102" s="512">
        <v>597815.78082961123</v>
      </c>
      <c r="J102" s="484">
        <f t="shared" si="17"/>
        <v>0</v>
      </c>
      <c r="K102" s="484"/>
      <c r="L102" s="376">
        <f>+H102</f>
        <v>597815.78082961123</v>
      </c>
      <c r="M102" s="484">
        <f t="shared" ref="M102" si="24">IF(L102&lt;&gt;0,+H102-L102,0)</f>
        <v>0</v>
      </c>
      <c r="N102" s="376">
        <f>+I102</f>
        <v>597815.78082961123</v>
      </c>
      <c r="O102" s="483">
        <f t="shared" ref="O102" si="25">IF(N102&lt;&gt;0,+I102-N102,0)</f>
        <v>0</v>
      </c>
      <c r="P102" s="483">
        <f t="shared" ref="P102" si="26">+O102-M102</f>
        <v>0</v>
      </c>
    </row>
    <row r="103" spans="1:16">
      <c r="B103" t="str">
        <f t="shared" si="16"/>
        <v/>
      </c>
      <c r="C103" s="479">
        <f>IF(D94="","-",+C102+1)</f>
        <v>2025</v>
      </c>
      <c r="D103" s="480">
        <f>IF(F102+SUM(E$100:E102)=D$93,F102,D$93-SUM(E$100:E102))</f>
        <v>3497964.4442063486</v>
      </c>
      <c r="E103" s="55">
        <f t="shared" ref="E103:E155" si="27">IF(+J$97&lt;F102,J$97,D103)</f>
        <v>185736.23857142855</v>
      </c>
      <c r="F103" s="481">
        <f t="shared" ref="F103:F155" si="28">+D103-E103</f>
        <v>3312228.2056349199</v>
      </c>
      <c r="G103" s="481">
        <f t="shared" ref="G103:G155" si="29">+(F103+D103)/2</f>
        <v>3405096.3249206343</v>
      </c>
      <c r="H103" s="110">
        <f t="shared" ref="H103:H107" si="30">+J$95*G103+E103</f>
        <v>576500.91782278859</v>
      </c>
      <c r="I103" s="119">
        <f t="shared" ref="I103:I155" si="31">+J$96*G103+E103</f>
        <v>576500.91782278859</v>
      </c>
      <c r="J103" s="484">
        <f t="shared" si="17"/>
        <v>0</v>
      </c>
      <c r="K103" s="484"/>
      <c r="L103" s="112"/>
      <c r="M103" s="484">
        <f t="shared" si="18"/>
        <v>0</v>
      </c>
      <c r="N103" s="112"/>
      <c r="O103" s="484">
        <f t="shared" si="19"/>
        <v>0</v>
      </c>
      <c r="P103" s="484">
        <f t="shared" si="20"/>
        <v>0</v>
      </c>
    </row>
    <row r="104" spans="1:16">
      <c r="B104" t="str">
        <f t="shared" si="16"/>
        <v/>
      </c>
      <c r="C104" s="479">
        <f>IF(D94="","-",+C103+1)</f>
        <v>2026</v>
      </c>
      <c r="D104" s="480">
        <f>IF(F103+SUM(E$100:E103)=D$93,F103,D$93-SUM(E$100:E103))</f>
        <v>3312228.2056349199</v>
      </c>
      <c r="E104" s="55">
        <f t="shared" si="27"/>
        <v>185736.23857142855</v>
      </c>
      <c r="F104" s="481">
        <f t="shared" si="28"/>
        <v>3126491.9670634912</v>
      </c>
      <c r="G104" s="481">
        <f t="shared" si="29"/>
        <v>3219360.0863492056</v>
      </c>
      <c r="H104" s="110">
        <f t="shared" si="30"/>
        <v>555186.05481596594</v>
      </c>
      <c r="I104" s="119">
        <f t="shared" si="31"/>
        <v>555186.05481596594</v>
      </c>
      <c r="J104" s="484">
        <f t="shared" si="17"/>
        <v>0</v>
      </c>
      <c r="K104" s="484"/>
      <c r="L104" s="112"/>
      <c r="M104" s="484">
        <f t="shared" si="18"/>
        <v>0</v>
      </c>
      <c r="N104" s="112"/>
      <c r="O104" s="484">
        <f t="shared" si="19"/>
        <v>0</v>
      </c>
      <c r="P104" s="484">
        <f t="shared" si="20"/>
        <v>0</v>
      </c>
    </row>
    <row r="105" spans="1:16">
      <c r="B105" t="str">
        <f t="shared" si="16"/>
        <v/>
      </c>
      <c r="C105" s="479">
        <f>IF(D94="","-",+C104+1)</f>
        <v>2027</v>
      </c>
      <c r="D105" s="480">
        <f>IF(F104+SUM(E$100:E104)=D$93,F104,D$93-SUM(E$100:E104))</f>
        <v>3126491.9670634912</v>
      </c>
      <c r="E105" s="55">
        <f t="shared" si="27"/>
        <v>185736.23857142855</v>
      </c>
      <c r="F105" s="481">
        <f t="shared" si="28"/>
        <v>2940755.7284920625</v>
      </c>
      <c r="G105" s="481">
        <f t="shared" si="29"/>
        <v>3033623.8477777769</v>
      </c>
      <c r="H105" s="110">
        <f t="shared" si="30"/>
        <v>533871.19180914341</v>
      </c>
      <c r="I105" s="119">
        <f t="shared" si="31"/>
        <v>533871.19180914341</v>
      </c>
      <c r="J105" s="484">
        <f t="shared" si="17"/>
        <v>0</v>
      </c>
      <c r="K105" s="484"/>
      <c r="L105" s="112"/>
      <c r="M105" s="484">
        <f t="shared" si="18"/>
        <v>0</v>
      </c>
      <c r="N105" s="112"/>
      <c r="O105" s="484">
        <f t="shared" si="19"/>
        <v>0</v>
      </c>
      <c r="P105" s="484">
        <f t="shared" si="20"/>
        <v>0</v>
      </c>
    </row>
    <row r="106" spans="1:16">
      <c r="B106" t="str">
        <f t="shared" si="16"/>
        <v/>
      </c>
      <c r="C106" s="479">
        <f>IF(D94="","-",+C105+1)</f>
        <v>2028</v>
      </c>
      <c r="D106" s="480">
        <f>IF(F105+SUM(E$100:E105)=D$93,F105,D$93-SUM(E$100:E105))</f>
        <v>2940755.7284920625</v>
      </c>
      <c r="E106" s="55">
        <f t="shared" si="27"/>
        <v>185736.23857142855</v>
      </c>
      <c r="F106" s="481">
        <f t="shared" si="28"/>
        <v>2755019.4899206338</v>
      </c>
      <c r="G106" s="481">
        <f t="shared" si="29"/>
        <v>2847887.6092063482</v>
      </c>
      <c r="H106" s="110">
        <f t="shared" si="30"/>
        <v>512556.32880232076</v>
      </c>
      <c r="I106" s="119">
        <f t="shared" si="31"/>
        <v>512556.32880232076</v>
      </c>
      <c r="J106" s="484">
        <f t="shared" si="17"/>
        <v>0</v>
      </c>
      <c r="K106" s="484"/>
      <c r="L106" s="112"/>
      <c r="M106" s="484">
        <f t="shared" si="18"/>
        <v>0</v>
      </c>
      <c r="N106" s="112"/>
      <c r="O106" s="484">
        <f t="shared" si="19"/>
        <v>0</v>
      </c>
      <c r="P106" s="484">
        <f t="shared" si="20"/>
        <v>0</v>
      </c>
    </row>
    <row r="107" spans="1:16">
      <c r="B107" t="str">
        <f t="shared" si="16"/>
        <v/>
      </c>
      <c r="C107" s="479">
        <f>IF(D94="","-",+C106+1)</f>
        <v>2029</v>
      </c>
      <c r="D107" s="480">
        <f>IF(F106+SUM(E$100:E106)=D$93,F106,D$93-SUM(E$100:E106))</f>
        <v>2755019.4899206338</v>
      </c>
      <c r="E107" s="55">
        <f t="shared" si="27"/>
        <v>185736.23857142855</v>
      </c>
      <c r="F107" s="481">
        <f t="shared" si="28"/>
        <v>2569283.2513492052</v>
      </c>
      <c r="G107" s="481">
        <f t="shared" si="29"/>
        <v>2662151.3706349195</v>
      </c>
      <c r="H107" s="110">
        <f t="shared" si="30"/>
        <v>491241.46579549822</v>
      </c>
      <c r="I107" s="119">
        <f t="shared" si="31"/>
        <v>491241.46579549822</v>
      </c>
      <c r="J107" s="484">
        <f t="shared" si="17"/>
        <v>0</v>
      </c>
      <c r="K107" s="484"/>
      <c r="L107" s="112"/>
      <c r="M107" s="484">
        <f t="shared" si="18"/>
        <v>0</v>
      </c>
      <c r="N107" s="112"/>
      <c r="O107" s="484">
        <f t="shared" si="19"/>
        <v>0</v>
      </c>
      <c r="P107" s="484">
        <f t="shared" si="20"/>
        <v>0</v>
      </c>
    </row>
    <row r="108" spans="1:16">
      <c r="B108" t="str">
        <f t="shared" si="16"/>
        <v/>
      </c>
      <c r="C108" s="479">
        <f>IF(D94="","-",+C107+1)</f>
        <v>2030</v>
      </c>
      <c r="D108" s="480">
        <f>IF(F107+SUM(E$100:E107)=D$93,F107,D$93-SUM(E$100:E107))</f>
        <v>2569283.2513492052</v>
      </c>
      <c r="E108" s="377">
        <f t="shared" si="27"/>
        <v>185736.23857142855</v>
      </c>
      <c r="F108" s="481">
        <f t="shared" si="28"/>
        <v>2383547.0127777765</v>
      </c>
      <c r="G108" s="481">
        <f t="shared" si="29"/>
        <v>2476415.1320634908</v>
      </c>
      <c r="H108" s="459">
        <f t="shared" ref="H108:H155" si="32">(D108+F108)/2*J$95+E108</f>
        <v>469926.60278867558</v>
      </c>
      <c r="I108" s="446">
        <f t="shared" si="31"/>
        <v>469926.60278867558</v>
      </c>
      <c r="J108" s="484">
        <f t="shared" si="17"/>
        <v>0</v>
      </c>
      <c r="K108" s="484"/>
      <c r="L108" s="112"/>
      <c r="M108" s="484">
        <f t="shared" si="18"/>
        <v>0</v>
      </c>
      <c r="N108" s="112"/>
      <c r="O108" s="484">
        <f t="shared" si="19"/>
        <v>0</v>
      </c>
      <c r="P108" s="484">
        <f t="shared" si="20"/>
        <v>0</v>
      </c>
    </row>
    <row r="109" spans="1:16">
      <c r="B109" t="str">
        <f t="shared" si="16"/>
        <v/>
      </c>
      <c r="C109" s="479">
        <f>IF(D94="","-",+C108+1)</f>
        <v>2031</v>
      </c>
      <c r="D109" s="480">
        <f>IF(F108+SUM(E$100:E108)=D$93,F108,D$93-SUM(E$100:E108))</f>
        <v>2383547.0127777765</v>
      </c>
      <c r="E109" s="377">
        <f t="shared" si="27"/>
        <v>185736.23857142855</v>
      </c>
      <c r="F109" s="481">
        <f t="shared" si="28"/>
        <v>2197810.7742063478</v>
      </c>
      <c r="G109" s="481">
        <f t="shared" si="29"/>
        <v>2290678.8934920621</v>
      </c>
      <c r="H109" s="459">
        <f t="shared" si="32"/>
        <v>448611.73978185293</v>
      </c>
      <c r="I109" s="446">
        <f t="shared" si="31"/>
        <v>448611.73978185293</v>
      </c>
      <c r="J109" s="484">
        <f t="shared" si="17"/>
        <v>0</v>
      </c>
      <c r="K109" s="484"/>
      <c r="L109" s="112"/>
      <c r="M109" s="484">
        <f t="shared" si="18"/>
        <v>0</v>
      </c>
      <c r="N109" s="112"/>
      <c r="O109" s="484">
        <f t="shared" si="19"/>
        <v>0</v>
      </c>
      <c r="P109" s="484">
        <f t="shared" si="20"/>
        <v>0</v>
      </c>
    </row>
    <row r="110" spans="1:16">
      <c r="B110" t="str">
        <f t="shared" si="16"/>
        <v/>
      </c>
      <c r="C110" s="479">
        <f>IF(D94="","-",+C109+1)</f>
        <v>2032</v>
      </c>
      <c r="D110" s="480">
        <f>IF(F109+SUM(E$100:E109)=D$93,F109,D$93-SUM(E$100:E109))</f>
        <v>2197810.7742063478</v>
      </c>
      <c r="E110" s="377">
        <f t="shared" si="27"/>
        <v>185736.23857142855</v>
      </c>
      <c r="F110" s="481">
        <f t="shared" si="28"/>
        <v>2012074.5356349193</v>
      </c>
      <c r="G110" s="481">
        <f t="shared" si="29"/>
        <v>2104942.6549206334</v>
      </c>
      <c r="H110" s="459">
        <f t="shared" si="32"/>
        <v>427296.8767750304</v>
      </c>
      <c r="I110" s="446">
        <f t="shared" si="31"/>
        <v>427296.8767750304</v>
      </c>
      <c r="J110" s="484">
        <f t="shared" si="17"/>
        <v>0</v>
      </c>
      <c r="K110" s="484"/>
      <c r="L110" s="112"/>
      <c r="M110" s="484">
        <f t="shared" si="18"/>
        <v>0</v>
      </c>
      <c r="N110" s="112"/>
      <c r="O110" s="484">
        <f t="shared" si="19"/>
        <v>0</v>
      </c>
      <c r="P110" s="484">
        <f t="shared" si="20"/>
        <v>0</v>
      </c>
    </row>
    <row r="111" spans="1:16">
      <c r="B111" t="str">
        <f t="shared" si="16"/>
        <v/>
      </c>
      <c r="C111" s="479">
        <f>IF(D94="","-",+C110+1)</f>
        <v>2033</v>
      </c>
      <c r="D111" s="480">
        <f>IF(F110+SUM(E$100:E110)=D$93,F110,D$93-SUM(E$100:E110))</f>
        <v>2012074.5356349193</v>
      </c>
      <c r="E111" s="377">
        <f t="shared" si="27"/>
        <v>185736.23857142855</v>
      </c>
      <c r="F111" s="481">
        <f t="shared" si="28"/>
        <v>1826338.2970634908</v>
      </c>
      <c r="G111" s="481">
        <f t="shared" si="29"/>
        <v>1919206.4163492052</v>
      </c>
      <c r="H111" s="459">
        <f t="shared" si="32"/>
        <v>405982.01376820786</v>
      </c>
      <c r="I111" s="446">
        <f t="shared" si="31"/>
        <v>405982.01376820786</v>
      </c>
      <c r="J111" s="484">
        <f t="shared" si="17"/>
        <v>0</v>
      </c>
      <c r="K111" s="484"/>
      <c r="L111" s="112"/>
      <c r="M111" s="484">
        <f t="shared" si="18"/>
        <v>0</v>
      </c>
      <c r="N111" s="112"/>
      <c r="O111" s="484">
        <f t="shared" si="19"/>
        <v>0</v>
      </c>
      <c r="P111" s="484">
        <f t="shared" si="20"/>
        <v>0</v>
      </c>
    </row>
    <row r="112" spans="1:16">
      <c r="B112" t="str">
        <f t="shared" si="16"/>
        <v/>
      </c>
      <c r="C112" s="479">
        <f>IF(D94="","-",+C111+1)</f>
        <v>2034</v>
      </c>
      <c r="D112" s="480">
        <f>IF(F111+SUM(E$100:E111)=D$93,F111,D$93-SUM(E$100:E111))</f>
        <v>1826338.2970634908</v>
      </c>
      <c r="E112" s="377">
        <f t="shared" si="27"/>
        <v>185736.23857142855</v>
      </c>
      <c r="F112" s="481">
        <f t="shared" si="28"/>
        <v>1640602.0584920624</v>
      </c>
      <c r="G112" s="481">
        <f t="shared" si="29"/>
        <v>1733470.1777777765</v>
      </c>
      <c r="H112" s="459">
        <f t="shared" si="32"/>
        <v>384667.15076138522</v>
      </c>
      <c r="I112" s="446">
        <f t="shared" si="31"/>
        <v>384667.15076138522</v>
      </c>
      <c r="J112" s="484">
        <f t="shared" si="17"/>
        <v>0</v>
      </c>
      <c r="K112" s="484"/>
      <c r="L112" s="112"/>
      <c r="M112" s="484">
        <f t="shared" si="18"/>
        <v>0</v>
      </c>
      <c r="N112" s="112"/>
      <c r="O112" s="484">
        <f t="shared" si="19"/>
        <v>0</v>
      </c>
      <c r="P112" s="484">
        <f t="shared" si="20"/>
        <v>0</v>
      </c>
    </row>
    <row r="113" spans="2:16">
      <c r="B113" t="str">
        <f t="shared" si="16"/>
        <v/>
      </c>
      <c r="C113" s="479">
        <f>IF(D94="","-",+C112+1)</f>
        <v>2035</v>
      </c>
      <c r="D113" s="480">
        <f>IF(F112+SUM(E$100:E112)=D$93,F112,D$93-SUM(E$100:E112))</f>
        <v>1640602.0584920624</v>
      </c>
      <c r="E113" s="377">
        <f t="shared" si="27"/>
        <v>185736.23857142855</v>
      </c>
      <c r="F113" s="481">
        <f t="shared" si="28"/>
        <v>1454865.8199206339</v>
      </c>
      <c r="G113" s="481">
        <f t="shared" si="29"/>
        <v>1547733.9392063483</v>
      </c>
      <c r="H113" s="459">
        <f t="shared" si="32"/>
        <v>363352.28775456268</v>
      </c>
      <c r="I113" s="446">
        <f t="shared" si="31"/>
        <v>363352.28775456268</v>
      </c>
      <c r="J113" s="484">
        <f t="shared" si="17"/>
        <v>0</v>
      </c>
      <c r="K113" s="484"/>
      <c r="L113" s="112"/>
      <c r="M113" s="484">
        <f t="shared" si="18"/>
        <v>0</v>
      </c>
      <c r="N113" s="112"/>
      <c r="O113" s="484">
        <f t="shared" si="19"/>
        <v>0</v>
      </c>
      <c r="P113" s="484">
        <f t="shared" si="20"/>
        <v>0</v>
      </c>
    </row>
    <row r="114" spans="2:16">
      <c r="B114" t="str">
        <f t="shared" si="16"/>
        <v/>
      </c>
      <c r="C114" s="479">
        <f>IF(D94="","-",+C113+1)</f>
        <v>2036</v>
      </c>
      <c r="D114" s="480">
        <f>IF(F113+SUM(E$100:E113)=D$93,F113,D$93-SUM(E$100:E113))</f>
        <v>1454865.8199206339</v>
      </c>
      <c r="E114" s="377">
        <f t="shared" si="27"/>
        <v>185736.23857142855</v>
      </c>
      <c r="F114" s="481">
        <f t="shared" si="28"/>
        <v>1269129.5813492055</v>
      </c>
      <c r="G114" s="481">
        <f t="shared" si="29"/>
        <v>1361997.7006349196</v>
      </c>
      <c r="H114" s="459">
        <f t="shared" si="32"/>
        <v>342037.42474774009</v>
      </c>
      <c r="I114" s="446">
        <f t="shared" si="31"/>
        <v>342037.42474774009</v>
      </c>
      <c r="J114" s="484">
        <f t="shared" si="17"/>
        <v>0</v>
      </c>
      <c r="K114" s="484"/>
      <c r="L114" s="112"/>
      <c r="M114" s="484">
        <f t="shared" si="18"/>
        <v>0</v>
      </c>
      <c r="N114" s="112"/>
      <c r="O114" s="484">
        <f t="shared" si="19"/>
        <v>0</v>
      </c>
      <c r="P114" s="484">
        <f t="shared" si="20"/>
        <v>0</v>
      </c>
    </row>
    <row r="115" spans="2:16">
      <c r="B115" t="str">
        <f t="shared" si="16"/>
        <v/>
      </c>
      <c r="C115" s="479">
        <f>IF(D94="","-",+C114+1)</f>
        <v>2037</v>
      </c>
      <c r="D115" s="480">
        <f>IF(F114+SUM(E$100:E114)=D$93,F114,D$93-SUM(E$100:E114))</f>
        <v>1269129.5813492055</v>
      </c>
      <c r="E115" s="377">
        <f t="shared" si="27"/>
        <v>185736.23857142855</v>
      </c>
      <c r="F115" s="481">
        <f t="shared" si="28"/>
        <v>1083393.342777777</v>
      </c>
      <c r="G115" s="481">
        <f t="shared" si="29"/>
        <v>1176261.4620634913</v>
      </c>
      <c r="H115" s="459">
        <f t="shared" si="32"/>
        <v>320722.5617409175</v>
      </c>
      <c r="I115" s="446">
        <f t="shared" si="31"/>
        <v>320722.5617409175</v>
      </c>
      <c r="J115" s="484">
        <f t="shared" si="17"/>
        <v>0</v>
      </c>
      <c r="K115" s="484"/>
      <c r="L115" s="112"/>
      <c r="M115" s="484">
        <f t="shared" si="18"/>
        <v>0</v>
      </c>
      <c r="N115" s="112"/>
      <c r="O115" s="484">
        <f t="shared" si="19"/>
        <v>0</v>
      </c>
      <c r="P115" s="484">
        <f t="shared" si="20"/>
        <v>0</v>
      </c>
    </row>
    <row r="116" spans="2:16">
      <c r="B116" t="str">
        <f t="shared" si="16"/>
        <v/>
      </c>
      <c r="C116" s="479">
        <f>IF(D94="","-",+C115+1)</f>
        <v>2038</v>
      </c>
      <c r="D116" s="480">
        <f>IF(F115+SUM(E$100:E115)=D$93,F115,D$93-SUM(E$100:E115))</f>
        <v>1083393.342777777</v>
      </c>
      <c r="E116" s="377">
        <f t="shared" si="27"/>
        <v>185736.23857142855</v>
      </c>
      <c r="F116" s="481">
        <f t="shared" si="28"/>
        <v>897657.10420634842</v>
      </c>
      <c r="G116" s="481">
        <f t="shared" si="29"/>
        <v>990525.22349206265</v>
      </c>
      <c r="H116" s="459">
        <f t="shared" si="32"/>
        <v>299407.69873409491</v>
      </c>
      <c r="I116" s="446">
        <f t="shared" si="31"/>
        <v>299407.69873409491</v>
      </c>
      <c r="J116" s="484">
        <f t="shared" si="17"/>
        <v>0</v>
      </c>
      <c r="K116" s="484"/>
      <c r="L116" s="112"/>
      <c r="M116" s="484">
        <f t="shared" si="18"/>
        <v>0</v>
      </c>
      <c r="N116" s="112"/>
      <c r="O116" s="484">
        <f t="shared" si="19"/>
        <v>0</v>
      </c>
      <c r="P116" s="484">
        <f t="shared" si="20"/>
        <v>0</v>
      </c>
    </row>
    <row r="117" spans="2:16">
      <c r="B117" t="str">
        <f t="shared" si="16"/>
        <v/>
      </c>
      <c r="C117" s="479">
        <f>IF(D94="","-",+C116+1)</f>
        <v>2039</v>
      </c>
      <c r="D117" s="480">
        <f>IF(F116+SUM(E$100:E116)=D$93,F116,D$93-SUM(E$100:E116))</f>
        <v>897657.10420634842</v>
      </c>
      <c r="E117" s="377">
        <f t="shared" si="27"/>
        <v>185736.23857142855</v>
      </c>
      <c r="F117" s="481">
        <f t="shared" si="28"/>
        <v>711920.86563491984</v>
      </c>
      <c r="G117" s="481">
        <f t="shared" si="29"/>
        <v>804788.98492063419</v>
      </c>
      <c r="H117" s="459">
        <f t="shared" si="32"/>
        <v>278092.83572727232</v>
      </c>
      <c r="I117" s="446">
        <f t="shared" si="31"/>
        <v>278092.83572727232</v>
      </c>
      <c r="J117" s="484">
        <f t="shared" si="17"/>
        <v>0</v>
      </c>
      <c r="K117" s="484"/>
      <c r="L117" s="112"/>
      <c r="M117" s="484">
        <f t="shared" si="18"/>
        <v>0</v>
      </c>
      <c r="N117" s="112"/>
      <c r="O117" s="484">
        <f t="shared" si="19"/>
        <v>0</v>
      </c>
      <c r="P117" s="484">
        <f t="shared" si="20"/>
        <v>0</v>
      </c>
    </row>
    <row r="118" spans="2:16">
      <c r="B118" t="str">
        <f t="shared" si="16"/>
        <v/>
      </c>
      <c r="C118" s="479">
        <f>IF(D94="","-",+C117+1)</f>
        <v>2040</v>
      </c>
      <c r="D118" s="480">
        <f>IF(F117+SUM(E$100:E117)=D$93,F117,D$93-SUM(E$100:E117))</f>
        <v>711920.86563491984</v>
      </c>
      <c r="E118" s="377">
        <f t="shared" si="27"/>
        <v>185736.23857142855</v>
      </c>
      <c r="F118" s="481">
        <f t="shared" si="28"/>
        <v>526184.62706349127</v>
      </c>
      <c r="G118" s="481">
        <f t="shared" si="29"/>
        <v>619052.7463492055</v>
      </c>
      <c r="H118" s="459">
        <f t="shared" si="32"/>
        <v>256777.97272044976</v>
      </c>
      <c r="I118" s="446">
        <f t="shared" si="31"/>
        <v>256777.97272044976</v>
      </c>
      <c r="J118" s="484">
        <f t="shared" si="17"/>
        <v>0</v>
      </c>
      <c r="K118" s="484"/>
      <c r="L118" s="112"/>
      <c r="M118" s="484">
        <f t="shared" si="18"/>
        <v>0</v>
      </c>
      <c r="N118" s="112"/>
      <c r="O118" s="484">
        <f t="shared" si="19"/>
        <v>0</v>
      </c>
      <c r="P118" s="484">
        <f t="shared" si="20"/>
        <v>0</v>
      </c>
    </row>
    <row r="119" spans="2:16">
      <c r="B119" t="str">
        <f t="shared" si="16"/>
        <v/>
      </c>
      <c r="C119" s="479">
        <f>IF(D94="","-",+C118+1)</f>
        <v>2041</v>
      </c>
      <c r="D119" s="480">
        <f>IF(F118+SUM(E$100:E118)=D$93,F118,D$93-SUM(E$100:E118))</f>
        <v>526184.62706349127</v>
      </c>
      <c r="E119" s="377">
        <f t="shared" si="27"/>
        <v>185736.23857142855</v>
      </c>
      <c r="F119" s="481">
        <f t="shared" si="28"/>
        <v>340448.38849206269</v>
      </c>
      <c r="G119" s="481">
        <f t="shared" si="29"/>
        <v>433316.50777777698</v>
      </c>
      <c r="H119" s="459">
        <f t="shared" si="32"/>
        <v>235463.10971362717</v>
      </c>
      <c r="I119" s="446">
        <f t="shared" si="31"/>
        <v>235463.10971362717</v>
      </c>
      <c r="J119" s="484">
        <f t="shared" si="17"/>
        <v>0</v>
      </c>
      <c r="K119" s="484"/>
      <c r="L119" s="112"/>
      <c r="M119" s="484">
        <f t="shared" si="18"/>
        <v>0</v>
      </c>
      <c r="N119" s="112"/>
      <c r="O119" s="484">
        <f t="shared" si="19"/>
        <v>0</v>
      </c>
      <c r="P119" s="484">
        <f t="shared" si="20"/>
        <v>0</v>
      </c>
    </row>
    <row r="120" spans="2:16">
      <c r="B120" t="str">
        <f t="shared" si="16"/>
        <v/>
      </c>
      <c r="C120" s="479">
        <f>IF(D94="","-",+C119+1)</f>
        <v>2042</v>
      </c>
      <c r="D120" s="480">
        <f>IF(F119+SUM(E$100:E119)=D$93,F119,D$93-SUM(E$100:E119))</f>
        <v>340448.38849206269</v>
      </c>
      <c r="E120" s="377">
        <f t="shared" si="27"/>
        <v>185736.23857142855</v>
      </c>
      <c r="F120" s="481">
        <f t="shared" si="28"/>
        <v>154712.14992063414</v>
      </c>
      <c r="G120" s="481">
        <f t="shared" si="29"/>
        <v>247580.2692063484</v>
      </c>
      <c r="H120" s="459">
        <f t="shared" si="32"/>
        <v>214148.24670680458</v>
      </c>
      <c r="I120" s="446">
        <f t="shared" si="31"/>
        <v>214148.24670680458</v>
      </c>
      <c r="J120" s="484">
        <f t="shared" si="17"/>
        <v>0</v>
      </c>
      <c r="K120" s="484"/>
      <c r="L120" s="112"/>
      <c r="M120" s="484">
        <f t="shared" si="18"/>
        <v>0</v>
      </c>
      <c r="N120" s="112"/>
      <c r="O120" s="484">
        <f t="shared" si="19"/>
        <v>0</v>
      </c>
      <c r="P120" s="484">
        <f t="shared" si="20"/>
        <v>0</v>
      </c>
    </row>
    <row r="121" spans="2:16">
      <c r="B121" t="str">
        <f t="shared" si="16"/>
        <v/>
      </c>
      <c r="C121" s="479">
        <f>IF(D94="","-",+C120+1)</f>
        <v>2043</v>
      </c>
      <c r="D121" s="480">
        <f>IF(F120+SUM(E$100:E120)=D$93,F120,D$93-SUM(E$100:E120))</f>
        <v>154712.14992063414</v>
      </c>
      <c r="E121" s="377">
        <f t="shared" si="27"/>
        <v>154712.14992063414</v>
      </c>
      <c r="F121" s="481">
        <f t="shared" si="28"/>
        <v>0</v>
      </c>
      <c r="G121" s="481">
        <f t="shared" si="29"/>
        <v>77356.07496031707</v>
      </c>
      <c r="H121" s="459">
        <f t="shared" si="32"/>
        <v>163589.43823661652</v>
      </c>
      <c r="I121" s="446">
        <f t="shared" si="31"/>
        <v>163589.43823661652</v>
      </c>
      <c r="J121" s="484">
        <f t="shared" si="17"/>
        <v>0</v>
      </c>
      <c r="K121" s="484"/>
      <c r="L121" s="112"/>
      <c r="M121" s="484">
        <f t="shared" si="18"/>
        <v>0</v>
      </c>
      <c r="N121" s="112"/>
      <c r="O121" s="484">
        <f t="shared" si="19"/>
        <v>0</v>
      </c>
      <c r="P121" s="484">
        <f t="shared" si="20"/>
        <v>0</v>
      </c>
    </row>
    <row r="122" spans="2:16">
      <c r="B122" t="str">
        <f t="shared" si="16"/>
        <v/>
      </c>
      <c r="C122" s="479">
        <f>IF(D94="","-",+C121+1)</f>
        <v>2044</v>
      </c>
      <c r="D122" s="480">
        <f>IF(F121+SUM(E$100:E121)=D$93,F121,D$93-SUM(E$100:E121))</f>
        <v>0</v>
      </c>
      <c r="E122" s="377">
        <f t="shared" si="27"/>
        <v>0</v>
      </c>
      <c r="F122" s="481">
        <f t="shared" si="28"/>
        <v>0</v>
      </c>
      <c r="G122" s="481">
        <f t="shared" si="29"/>
        <v>0</v>
      </c>
      <c r="H122" s="459">
        <f t="shared" si="32"/>
        <v>0</v>
      </c>
      <c r="I122" s="446">
        <f t="shared" si="31"/>
        <v>0</v>
      </c>
      <c r="J122" s="484">
        <f t="shared" si="17"/>
        <v>0</v>
      </c>
      <c r="K122" s="484"/>
      <c r="L122" s="112"/>
      <c r="M122" s="484">
        <f t="shared" si="18"/>
        <v>0</v>
      </c>
      <c r="N122" s="112"/>
      <c r="O122" s="484">
        <f t="shared" si="19"/>
        <v>0</v>
      </c>
      <c r="P122" s="484">
        <f t="shared" si="20"/>
        <v>0</v>
      </c>
    </row>
    <row r="123" spans="2:16">
      <c r="B123" t="str">
        <f t="shared" si="16"/>
        <v/>
      </c>
      <c r="C123" s="479">
        <f>IF(D94="","-",+C122+1)</f>
        <v>2045</v>
      </c>
      <c r="D123" s="480">
        <f>IF(F122+SUM(E$100:E122)=D$93,F122,D$93-SUM(E$100:E122))</f>
        <v>0</v>
      </c>
      <c r="E123" s="377">
        <f t="shared" si="27"/>
        <v>0</v>
      </c>
      <c r="F123" s="481">
        <f t="shared" si="28"/>
        <v>0</v>
      </c>
      <c r="G123" s="481">
        <f t="shared" si="29"/>
        <v>0</v>
      </c>
      <c r="H123" s="459">
        <f t="shared" si="32"/>
        <v>0</v>
      </c>
      <c r="I123" s="446">
        <f t="shared" si="31"/>
        <v>0</v>
      </c>
      <c r="J123" s="484">
        <f t="shared" si="17"/>
        <v>0</v>
      </c>
      <c r="K123" s="484"/>
      <c r="L123" s="112"/>
      <c r="M123" s="484">
        <f t="shared" si="18"/>
        <v>0</v>
      </c>
      <c r="N123" s="112"/>
      <c r="O123" s="484">
        <f t="shared" si="19"/>
        <v>0</v>
      </c>
      <c r="P123" s="484">
        <f t="shared" si="20"/>
        <v>0</v>
      </c>
    </row>
    <row r="124" spans="2:16">
      <c r="B124" t="str">
        <f t="shared" si="16"/>
        <v/>
      </c>
      <c r="C124" s="479">
        <f>IF(D94="","-",+C123+1)</f>
        <v>2046</v>
      </c>
      <c r="D124" s="480">
        <f>IF(F123+SUM(E$100:E123)=D$93,F123,D$93-SUM(E$100:E123))</f>
        <v>0</v>
      </c>
      <c r="E124" s="377">
        <f t="shared" si="27"/>
        <v>0</v>
      </c>
      <c r="F124" s="481">
        <f t="shared" si="28"/>
        <v>0</v>
      </c>
      <c r="G124" s="481">
        <f t="shared" si="29"/>
        <v>0</v>
      </c>
      <c r="H124" s="459">
        <f t="shared" si="32"/>
        <v>0</v>
      </c>
      <c r="I124" s="446">
        <f t="shared" si="31"/>
        <v>0</v>
      </c>
      <c r="J124" s="484">
        <f t="shared" si="17"/>
        <v>0</v>
      </c>
      <c r="K124" s="484"/>
      <c r="L124" s="112"/>
      <c r="M124" s="484">
        <f t="shared" si="18"/>
        <v>0</v>
      </c>
      <c r="N124" s="112"/>
      <c r="O124" s="484">
        <f t="shared" si="19"/>
        <v>0</v>
      </c>
      <c r="P124" s="484">
        <f t="shared" si="20"/>
        <v>0</v>
      </c>
    </row>
    <row r="125" spans="2:16">
      <c r="B125" t="str">
        <f t="shared" si="16"/>
        <v/>
      </c>
      <c r="C125" s="479">
        <f>IF(D94="","-",+C124+1)</f>
        <v>2047</v>
      </c>
      <c r="D125" s="480">
        <f>IF(F124+SUM(E$100:E124)=D$93,F124,D$93-SUM(E$100:E124))</f>
        <v>0</v>
      </c>
      <c r="E125" s="377">
        <f t="shared" si="27"/>
        <v>0</v>
      </c>
      <c r="F125" s="481">
        <f t="shared" si="28"/>
        <v>0</v>
      </c>
      <c r="G125" s="481">
        <f t="shared" si="29"/>
        <v>0</v>
      </c>
      <c r="H125" s="459">
        <f t="shared" si="32"/>
        <v>0</v>
      </c>
      <c r="I125" s="446">
        <f t="shared" si="31"/>
        <v>0</v>
      </c>
      <c r="J125" s="484">
        <f t="shared" si="17"/>
        <v>0</v>
      </c>
      <c r="K125" s="484"/>
      <c r="L125" s="112"/>
      <c r="M125" s="484">
        <f t="shared" si="18"/>
        <v>0</v>
      </c>
      <c r="N125" s="112"/>
      <c r="O125" s="484">
        <f t="shared" si="19"/>
        <v>0</v>
      </c>
      <c r="P125" s="484">
        <f t="shared" si="20"/>
        <v>0</v>
      </c>
    </row>
    <row r="126" spans="2:16">
      <c r="B126" t="str">
        <f t="shared" si="16"/>
        <v/>
      </c>
      <c r="C126" s="479">
        <f>IF(D94="","-",+C125+1)</f>
        <v>2048</v>
      </c>
      <c r="D126" s="480">
        <f>IF(F125+SUM(E$100:E125)=D$93,F125,D$93-SUM(E$100:E125))</f>
        <v>0</v>
      </c>
      <c r="E126" s="377">
        <f t="shared" si="27"/>
        <v>0</v>
      </c>
      <c r="F126" s="481">
        <f t="shared" si="28"/>
        <v>0</v>
      </c>
      <c r="G126" s="481">
        <f t="shared" si="29"/>
        <v>0</v>
      </c>
      <c r="H126" s="459">
        <f t="shared" si="32"/>
        <v>0</v>
      </c>
      <c r="I126" s="446">
        <f t="shared" si="31"/>
        <v>0</v>
      </c>
      <c r="J126" s="484">
        <f t="shared" si="17"/>
        <v>0</v>
      </c>
      <c r="K126" s="484"/>
      <c r="L126" s="112"/>
      <c r="M126" s="484">
        <f t="shared" si="18"/>
        <v>0</v>
      </c>
      <c r="N126" s="112"/>
      <c r="O126" s="484">
        <f t="shared" si="19"/>
        <v>0</v>
      </c>
      <c r="P126" s="484">
        <f t="shared" si="20"/>
        <v>0</v>
      </c>
    </row>
    <row r="127" spans="2:16">
      <c r="B127" t="str">
        <f t="shared" si="16"/>
        <v/>
      </c>
      <c r="C127" s="479">
        <f>IF(D94="","-",+C126+1)</f>
        <v>2049</v>
      </c>
      <c r="D127" s="480">
        <f>IF(F126+SUM(E$100:E126)=D$93,F126,D$93-SUM(E$100:E126))</f>
        <v>0</v>
      </c>
      <c r="E127" s="377">
        <f t="shared" si="27"/>
        <v>0</v>
      </c>
      <c r="F127" s="481">
        <f t="shared" si="28"/>
        <v>0</v>
      </c>
      <c r="G127" s="481">
        <f t="shared" si="29"/>
        <v>0</v>
      </c>
      <c r="H127" s="459">
        <f t="shared" si="32"/>
        <v>0</v>
      </c>
      <c r="I127" s="446">
        <f t="shared" si="31"/>
        <v>0</v>
      </c>
      <c r="J127" s="484">
        <f t="shared" si="17"/>
        <v>0</v>
      </c>
      <c r="K127" s="484"/>
      <c r="L127" s="112"/>
      <c r="M127" s="484">
        <f t="shared" si="18"/>
        <v>0</v>
      </c>
      <c r="N127" s="112"/>
      <c r="O127" s="484">
        <f t="shared" si="19"/>
        <v>0</v>
      </c>
      <c r="P127" s="484">
        <f t="shared" si="20"/>
        <v>0</v>
      </c>
    </row>
    <row r="128" spans="2:16">
      <c r="B128" t="str">
        <f t="shared" si="16"/>
        <v/>
      </c>
      <c r="C128" s="479">
        <f>IF(D94="","-",+C127+1)</f>
        <v>2050</v>
      </c>
      <c r="D128" s="480">
        <f>IF(F127+SUM(E$100:E127)=D$93,F127,D$93-SUM(E$100:E127))</f>
        <v>0</v>
      </c>
      <c r="E128" s="377">
        <f t="shared" si="27"/>
        <v>0</v>
      </c>
      <c r="F128" s="481">
        <f t="shared" si="28"/>
        <v>0</v>
      </c>
      <c r="G128" s="481">
        <f t="shared" si="29"/>
        <v>0</v>
      </c>
      <c r="H128" s="459">
        <f t="shared" si="32"/>
        <v>0</v>
      </c>
      <c r="I128" s="446">
        <f t="shared" si="31"/>
        <v>0</v>
      </c>
      <c r="J128" s="484">
        <f t="shared" si="17"/>
        <v>0</v>
      </c>
      <c r="K128" s="484"/>
      <c r="L128" s="112"/>
      <c r="M128" s="484">
        <f t="shared" si="18"/>
        <v>0</v>
      </c>
      <c r="N128" s="112"/>
      <c r="O128" s="484">
        <f t="shared" si="19"/>
        <v>0</v>
      </c>
      <c r="P128" s="484">
        <f t="shared" si="20"/>
        <v>0</v>
      </c>
    </row>
    <row r="129" spans="2:16">
      <c r="B129" t="str">
        <f t="shared" si="16"/>
        <v/>
      </c>
      <c r="C129" s="479">
        <f>IF(D94="","-",+C128+1)</f>
        <v>2051</v>
      </c>
      <c r="D129" s="480">
        <f>IF(F128+SUM(E$100:E128)=D$93,F128,D$93-SUM(E$100:E128))</f>
        <v>0</v>
      </c>
      <c r="E129" s="377">
        <f t="shared" si="27"/>
        <v>0</v>
      </c>
      <c r="F129" s="481">
        <f t="shared" si="28"/>
        <v>0</v>
      </c>
      <c r="G129" s="481">
        <f t="shared" si="29"/>
        <v>0</v>
      </c>
      <c r="H129" s="459">
        <f t="shared" si="32"/>
        <v>0</v>
      </c>
      <c r="I129" s="446">
        <f t="shared" si="31"/>
        <v>0</v>
      </c>
      <c r="J129" s="484">
        <f t="shared" si="17"/>
        <v>0</v>
      </c>
      <c r="K129" s="484"/>
      <c r="L129" s="112"/>
      <c r="M129" s="484">
        <f t="shared" si="18"/>
        <v>0</v>
      </c>
      <c r="N129" s="112"/>
      <c r="O129" s="484">
        <f t="shared" si="19"/>
        <v>0</v>
      </c>
      <c r="P129" s="484">
        <f t="shared" si="20"/>
        <v>0</v>
      </c>
    </row>
    <row r="130" spans="2:16">
      <c r="B130" t="str">
        <f t="shared" si="16"/>
        <v/>
      </c>
      <c r="C130" s="479">
        <f>IF(D94="","-",+C129+1)</f>
        <v>2052</v>
      </c>
      <c r="D130" s="480">
        <f>IF(F129+SUM(E$100:E129)=D$93,F129,D$93-SUM(E$100:E129))</f>
        <v>0</v>
      </c>
      <c r="E130" s="377">
        <f t="shared" si="27"/>
        <v>0</v>
      </c>
      <c r="F130" s="481">
        <f t="shared" si="28"/>
        <v>0</v>
      </c>
      <c r="G130" s="481">
        <f t="shared" si="29"/>
        <v>0</v>
      </c>
      <c r="H130" s="459">
        <f t="shared" si="32"/>
        <v>0</v>
      </c>
      <c r="I130" s="446">
        <f t="shared" si="31"/>
        <v>0</v>
      </c>
      <c r="J130" s="484">
        <f t="shared" si="17"/>
        <v>0</v>
      </c>
      <c r="K130" s="484"/>
      <c r="L130" s="112"/>
      <c r="M130" s="484">
        <f t="shared" si="18"/>
        <v>0</v>
      </c>
      <c r="N130" s="112"/>
      <c r="O130" s="484">
        <f t="shared" si="19"/>
        <v>0</v>
      </c>
      <c r="P130" s="484">
        <f t="shared" si="20"/>
        <v>0</v>
      </c>
    </row>
    <row r="131" spans="2:16">
      <c r="B131" t="str">
        <f t="shared" si="16"/>
        <v/>
      </c>
      <c r="C131" s="479">
        <f>IF(D94="","-",+C130+1)</f>
        <v>2053</v>
      </c>
      <c r="D131" s="480">
        <f>IF(F130+SUM(E$100:E130)=D$93,F130,D$93-SUM(E$100:E130))</f>
        <v>0</v>
      </c>
      <c r="E131" s="377">
        <f t="shared" si="27"/>
        <v>0</v>
      </c>
      <c r="F131" s="481">
        <f t="shared" si="28"/>
        <v>0</v>
      </c>
      <c r="G131" s="481">
        <f t="shared" si="29"/>
        <v>0</v>
      </c>
      <c r="H131" s="459">
        <f t="shared" si="32"/>
        <v>0</v>
      </c>
      <c r="I131" s="446">
        <f t="shared" si="31"/>
        <v>0</v>
      </c>
      <c r="J131" s="484">
        <f t="shared" si="17"/>
        <v>0</v>
      </c>
      <c r="K131" s="484"/>
      <c r="L131" s="112"/>
      <c r="M131" s="484">
        <f t="shared" si="18"/>
        <v>0</v>
      </c>
      <c r="N131" s="112"/>
      <c r="O131" s="484">
        <f t="shared" si="19"/>
        <v>0</v>
      </c>
      <c r="P131" s="484">
        <f t="shared" si="20"/>
        <v>0</v>
      </c>
    </row>
    <row r="132" spans="2:16">
      <c r="B132" t="str">
        <f t="shared" si="16"/>
        <v/>
      </c>
      <c r="C132" s="479">
        <f>IF(D94="","-",+C131+1)</f>
        <v>2054</v>
      </c>
      <c r="D132" s="480">
        <f>IF(F131+SUM(E$100:E131)=D$93,F131,D$93-SUM(E$100:E131))</f>
        <v>0</v>
      </c>
      <c r="E132" s="377">
        <f t="shared" si="27"/>
        <v>0</v>
      </c>
      <c r="F132" s="481">
        <f t="shared" si="28"/>
        <v>0</v>
      </c>
      <c r="G132" s="481">
        <f t="shared" si="29"/>
        <v>0</v>
      </c>
      <c r="H132" s="459">
        <f t="shared" si="32"/>
        <v>0</v>
      </c>
      <c r="I132" s="446">
        <f t="shared" si="31"/>
        <v>0</v>
      </c>
      <c r="J132" s="484">
        <f t="shared" ref="J132:J155" si="33">+I542-H542</f>
        <v>0</v>
      </c>
      <c r="K132" s="484"/>
      <c r="L132" s="112"/>
      <c r="M132" s="484">
        <f t="shared" ref="M132:M155" si="34">IF(L542&lt;&gt;0,+H542-L542,0)</f>
        <v>0</v>
      </c>
      <c r="N132" s="112"/>
      <c r="O132" s="484">
        <f t="shared" ref="O132:O155" si="35">IF(N542&lt;&gt;0,+I542-N542,0)</f>
        <v>0</v>
      </c>
      <c r="P132" s="484">
        <f t="shared" ref="P132:P155" si="36">+O542-M542</f>
        <v>0</v>
      </c>
    </row>
    <row r="133" spans="2:16">
      <c r="B133" t="str">
        <f t="shared" si="16"/>
        <v/>
      </c>
      <c r="C133" s="479">
        <f>IF(D94="","-",+C132+1)</f>
        <v>2055</v>
      </c>
      <c r="D133" s="480">
        <f>IF(F132+SUM(E$100:E132)=D$93,F132,D$93-SUM(E$100:E132))</f>
        <v>0</v>
      </c>
      <c r="E133" s="377">
        <f t="shared" si="27"/>
        <v>0</v>
      </c>
      <c r="F133" s="481">
        <f t="shared" si="28"/>
        <v>0</v>
      </c>
      <c r="G133" s="481">
        <f t="shared" si="29"/>
        <v>0</v>
      </c>
      <c r="H133" s="459">
        <f t="shared" si="32"/>
        <v>0</v>
      </c>
      <c r="I133" s="446">
        <f t="shared" si="31"/>
        <v>0</v>
      </c>
      <c r="J133" s="484">
        <f t="shared" si="33"/>
        <v>0</v>
      </c>
      <c r="K133" s="484"/>
      <c r="L133" s="112"/>
      <c r="M133" s="484">
        <f t="shared" si="34"/>
        <v>0</v>
      </c>
      <c r="N133" s="112"/>
      <c r="O133" s="484">
        <f t="shared" si="35"/>
        <v>0</v>
      </c>
      <c r="P133" s="484">
        <f t="shared" si="36"/>
        <v>0</v>
      </c>
    </row>
    <row r="134" spans="2:16">
      <c r="B134" t="str">
        <f t="shared" si="16"/>
        <v/>
      </c>
      <c r="C134" s="479">
        <f>IF(D94="","-",+C133+1)</f>
        <v>2056</v>
      </c>
      <c r="D134" s="480">
        <f>IF(F133+SUM(E$100:E133)=D$93,F133,D$93-SUM(E$100:E133))</f>
        <v>0</v>
      </c>
      <c r="E134" s="377">
        <f t="shared" si="27"/>
        <v>0</v>
      </c>
      <c r="F134" s="481">
        <f t="shared" si="28"/>
        <v>0</v>
      </c>
      <c r="G134" s="481">
        <f t="shared" si="29"/>
        <v>0</v>
      </c>
      <c r="H134" s="459">
        <f t="shared" si="32"/>
        <v>0</v>
      </c>
      <c r="I134" s="446">
        <f t="shared" si="31"/>
        <v>0</v>
      </c>
      <c r="J134" s="484">
        <f t="shared" si="33"/>
        <v>0</v>
      </c>
      <c r="K134" s="484"/>
      <c r="L134" s="112"/>
      <c r="M134" s="484">
        <f t="shared" si="34"/>
        <v>0</v>
      </c>
      <c r="N134" s="112"/>
      <c r="O134" s="484">
        <f t="shared" si="35"/>
        <v>0</v>
      </c>
      <c r="P134" s="484">
        <f t="shared" si="36"/>
        <v>0</v>
      </c>
    </row>
    <row r="135" spans="2:16">
      <c r="B135" t="str">
        <f t="shared" si="16"/>
        <v/>
      </c>
      <c r="C135" s="479">
        <f>IF(D94="","-",+C134+1)</f>
        <v>2057</v>
      </c>
      <c r="D135" s="480">
        <f>IF(F134+SUM(E$100:E134)=D$93,F134,D$93-SUM(E$100:E134))</f>
        <v>0</v>
      </c>
      <c r="E135" s="377">
        <f t="shared" si="27"/>
        <v>0</v>
      </c>
      <c r="F135" s="481">
        <f t="shared" si="28"/>
        <v>0</v>
      </c>
      <c r="G135" s="481">
        <f t="shared" si="29"/>
        <v>0</v>
      </c>
      <c r="H135" s="459">
        <f t="shared" si="32"/>
        <v>0</v>
      </c>
      <c r="I135" s="446">
        <f t="shared" si="31"/>
        <v>0</v>
      </c>
      <c r="J135" s="484">
        <f t="shared" si="33"/>
        <v>0</v>
      </c>
      <c r="K135" s="484"/>
      <c r="L135" s="112"/>
      <c r="M135" s="484">
        <f t="shared" si="34"/>
        <v>0</v>
      </c>
      <c r="N135" s="112"/>
      <c r="O135" s="484">
        <f t="shared" si="35"/>
        <v>0</v>
      </c>
      <c r="P135" s="484">
        <f t="shared" si="36"/>
        <v>0</v>
      </c>
    </row>
    <row r="136" spans="2:16">
      <c r="B136" t="str">
        <f t="shared" si="16"/>
        <v/>
      </c>
      <c r="C136" s="479">
        <f>IF(D94="","-",+C135+1)</f>
        <v>2058</v>
      </c>
      <c r="D136" s="480">
        <f>IF(F135+SUM(E$100:E135)=D$93,F135,D$93-SUM(E$100:E135))</f>
        <v>0</v>
      </c>
      <c r="E136" s="377">
        <f t="shared" si="27"/>
        <v>0</v>
      </c>
      <c r="F136" s="481">
        <f t="shared" si="28"/>
        <v>0</v>
      </c>
      <c r="G136" s="481">
        <f t="shared" si="29"/>
        <v>0</v>
      </c>
      <c r="H136" s="459">
        <f t="shared" si="32"/>
        <v>0</v>
      </c>
      <c r="I136" s="446">
        <f t="shared" si="31"/>
        <v>0</v>
      </c>
      <c r="J136" s="484">
        <f t="shared" si="33"/>
        <v>0</v>
      </c>
      <c r="K136" s="484"/>
      <c r="L136" s="112"/>
      <c r="M136" s="484">
        <f t="shared" si="34"/>
        <v>0</v>
      </c>
      <c r="N136" s="112"/>
      <c r="O136" s="484">
        <f t="shared" si="35"/>
        <v>0</v>
      </c>
      <c r="P136" s="484">
        <f t="shared" si="36"/>
        <v>0</v>
      </c>
    </row>
    <row r="137" spans="2:16">
      <c r="B137" t="str">
        <f t="shared" si="16"/>
        <v/>
      </c>
      <c r="C137" s="479">
        <f>IF(D94="","-",+C136+1)</f>
        <v>2059</v>
      </c>
      <c r="D137" s="480">
        <f>IF(F136+SUM(E$100:E136)=D$93,F136,D$93-SUM(E$100:E136))</f>
        <v>0</v>
      </c>
      <c r="E137" s="377">
        <f t="shared" si="27"/>
        <v>0</v>
      </c>
      <c r="F137" s="481">
        <f t="shared" si="28"/>
        <v>0</v>
      </c>
      <c r="G137" s="481">
        <f t="shared" si="29"/>
        <v>0</v>
      </c>
      <c r="H137" s="459">
        <f t="shared" si="32"/>
        <v>0</v>
      </c>
      <c r="I137" s="446">
        <f t="shared" si="31"/>
        <v>0</v>
      </c>
      <c r="J137" s="484">
        <f t="shared" si="33"/>
        <v>0</v>
      </c>
      <c r="K137" s="484"/>
      <c r="L137" s="112"/>
      <c r="M137" s="484">
        <f t="shared" si="34"/>
        <v>0</v>
      </c>
      <c r="N137" s="112"/>
      <c r="O137" s="484">
        <f t="shared" si="35"/>
        <v>0</v>
      </c>
      <c r="P137" s="484">
        <f t="shared" si="36"/>
        <v>0</v>
      </c>
    </row>
    <row r="138" spans="2:16">
      <c r="B138" t="str">
        <f t="shared" si="16"/>
        <v/>
      </c>
      <c r="C138" s="479">
        <f>IF(D94="","-",+C137+1)</f>
        <v>2060</v>
      </c>
      <c r="D138" s="480">
        <f>IF(F137+SUM(E$100:E137)=D$93,F137,D$93-SUM(E$100:E137))</f>
        <v>0</v>
      </c>
      <c r="E138" s="377">
        <f t="shared" si="27"/>
        <v>0</v>
      </c>
      <c r="F138" s="481">
        <f t="shared" si="28"/>
        <v>0</v>
      </c>
      <c r="G138" s="481">
        <f t="shared" si="29"/>
        <v>0</v>
      </c>
      <c r="H138" s="459">
        <f t="shared" si="32"/>
        <v>0</v>
      </c>
      <c r="I138" s="446">
        <f t="shared" si="31"/>
        <v>0</v>
      </c>
      <c r="J138" s="484">
        <f t="shared" si="33"/>
        <v>0</v>
      </c>
      <c r="K138" s="484"/>
      <c r="L138" s="112"/>
      <c r="M138" s="484">
        <f t="shared" si="34"/>
        <v>0</v>
      </c>
      <c r="N138" s="112"/>
      <c r="O138" s="484">
        <f t="shared" si="35"/>
        <v>0</v>
      </c>
      <c r="P138" s="484">
        <f t="shared" si="36"/>
        <v>0</v>
      </c>
    </row>
    <row r="139" spans="2:16">
      <c r="B139" t="str">
        <f t="shared" si="16"/>
        <v/>
      </c>
      <c r="C139" s="479">
        <f>IF(D94="","-",+C138+1)</f>
        <v>2061</v>
      </c>
      <c r="D139" s="480">
        <f>IF(F138+SUM(E$100:E138)=D$93,F138,D$93-SUM(E$100:E138))</f>
        <v>0</v>
      </c>
      <c r="E139" s="377">
        <f t="shared" si="27"/>
        <v>0</v>
      </c>
      <c r="F139" s="481">
        <f t="shared" si="28"/>
        <v>0</v>
      </c>
      <c r="G139" s="481">
        <f t="shared" si="29"/>
        <v>0</v>
      </c>
      <c r="H139" s="459">
        <f t="shared" si="32"/>
        <v>0</v>
      </c>
      <c r="I139" s="446">
        <f t="shared" si="31"/>
        <v>0</v>
      </c>
      <c r="J139" s="484">
        <f t="shared" si="33"/>
        <v>0</v>
      </c>
      <c r="K139" s="484"/>
      <c r="L139" s="112"/>
      <c r="M139" s="484">
        <f t="shared" si="34"/>
        <v>0</v>
      </c>
      <c r="N139" s="112"/>
      <c r="O139" s="484">
        <f t="shared" si="35"/>
        <v>0</v>
      </c>
      <c r="P139" s="484">
        <f t="shared" si="36"/>
        <v>0</v>
      </c>
    </row>
    <row r="140" spans="2:16">
      <c r="B140" t="str">
        <f t="shared" si="16"/>
        <v/>
      </c>
      <c r="C140" s="479">
        <f>IF(D94="","-",+C139+1)</f>
        <v>2062</v>
      </c>
      <c r="D140" s="480">
        <f>IF(F139+SUM(E$100:E139)=D$93,F139,D$93-SUM(E$100:E139))</f>
        <v>0</v>
      </c>
      <c r="E140" s="377">
        <f t="shared" si="27"/>
        <v>0</v>
      </c>
      <c r="F140" s="481">
        <f t="shared" si="28"/>
        <v>0</v>
      </c>
      <c r="G140" s="481">
        <f t="shared" si="29"/>
        <v>0</v>
      </c>
      <c r="H140" s="459">
        <f t="shared" si="32"/>
        <v>0</v>
      </c>
      <c r="I140" s="446">
        <f t="shared" si="31"/>
        <v>0</v>
      </c>
      <c r="J140" s="484">
        <f t="shared" si="33"/>
        <v>0</v>
      </c>
      <c r="K140" s="484"/>
      <c r="L140" s="112"/>
      <c r="M140" s="484">
        <f t="shared" si="34"/>
        <v>0</v>
      </c>
      <c r="N140" s="112"/>
      <c r="O140" s="484">
        <f t="shared" si="35"/>
        <v>0</v>
      </c>
      <c r="P140" s="484">
        <f t="shared" si="36"/>
        <v>0</v>
      </c>
    </row>
    <row r="141" spans="2:16">
      <c r="B141" t="str">
        <f t="shared" si="16"/>
        <v/>
      </c>
      <c r="C141" s="479">
        <f>IF(D94="","-",+C140+1)</f>
        <v>2063</v>
      </c>
      <c r="D141" s="480">
        <f>IF(F140+SUM(E$100:E140)=D$93,F140,D$93-SUM(E$100:E140))</f>
        <v>0</v>
      </c>
      <c r="E141" s="377">
        <f t="shared" si="27"/>
        <v>0</v>
      </c>
      <c r="F141" s="481">
        <f t="shared" si="28"/>
        <v>0</v>
      </c>
      <c r="G141" s="481">
        <f t="shared" si="29"/>
        <v>0</v>
      </c>
      <c r="H141" s="459">
        <f t="shared" si="32"/>
        <v>0</v>
      </c>
      <c r="I141" s="446">
        <f t="shared" si="31"/>
        <v>0</v>
      </c>
      <c r="J141" s="484">
        <f t="shared" si="33"/>
        <v>0</v>
      </c>
      <c r="K141" s="484"/>
      <c r="L141" s="112"/>
      <c r="M141" s="484">
        <f t="shared" si="34"/>
        <v>0</v>
      </c>
      <c r="N141" s="112"/>
      <c r="O141" s="484">
        <f t="shared" si="35"/>
        <v>0</v>
      </c>
      <c r="P141" s="484">
        <f t="shared" si="36"/>
        <v>0</v>
      </c>
    </row>
    <row r="142" spans="2:16">
      <c r="B142" t="str">
        <f t="shared" si="16"/>
        <v/>
      </c>
      <c r="C142" s="479">
        <f>IF(D94="","-",+C141+1)</f>
        <v>2064</v>
      </c>
      <c r="D142" s="480">
        <f>IF(F141+SUM(E$100:E141)=D$93,F141,D$93-SUM(E$100:E141))</f>
        <v>0</v>
      </c>
      <c r="E142" s="377">
        <f t="shared" si="27"/>
        <v>0</v>
      </c>
      <c r="F142" s="481">
        <f t="shared" si="28"/>
        <v>0</v>
      </c>
      <c r="G142" s="481">
        <f t="shared" si="29"/>
        <v>0</v>
      </c>
      <c r="H142" s="459">
        <f t="shared" si="32"/>
        <v>0</v>
      </c>
      <c r="I142" s="446">
        <f t="shared" si="31"/>
        <v>0</v>
      </c>
      <c r="J142" s="484">
        <f t="shared" si="33"/>
        <v>0</v>
      </c>
      <c r="K142" s="484"/>
      <c r="L142" s="112"/>
      <c r="M142" s="484">
        <f t="shared" si="34"/>
        <v>0</v>
      </c>
      <c r="N142" s="112"/>
      <c r="O142" s="484">
        <f t="shared" si="35"/>
        <v>0</v>
      </c>
      <c r="P142" s="484">
        <f t="shared" si="36"/>
        <v>0</v>
      </c>
    </row>
    <row r="143" spans="2:16">
      <c r="B143" t="str">
        <f t="shared" si="16"/>
        <v/>
      </c>
      <c r="C143" s="479">
        <f>IF(D94="","-",+C142+1)</f>
        <v>2065</v>
      </c>
      <c r="D143" s="480">
        <f>IF(F142+SUM(E$100:E142)=D$93,F142,D$93-SUM(E$100:E142))</f>
        <v>0</v>
      </c>
      <c r="E143" s="377">
        <f t="shared" si="27"/>
        <v>0</v>
      </c>
      <c r="F143" s="481">
        <f t="shared" si="28"/>
        <v>0</v>
      </c>
      <c r="G143" s="481">
        <f t="shared" si="29"/>
        <v>0</v>
      </c>
      <c r="H143" s="459">
        <f t="shared" si="32"/>
        <v>0</v>
      </c>
      <c r="I143" s="446">
        <f t="shared" si="31"/>
        <v>0</v>
      </c>
      <c r="J143" s="484">
        <f t="shared" si="33"/>
        <v>0</v>
      </c>
      <c r="K143" s="484"/>
      <c r="L143" s="112"/>
      <c r="M143" s="484">
        <f t="shared" si="34"/>
        <v>0</v>
      </c>
      <c r="N143" s="112"/>
      <c r="O143" s="484">
        <f t="shared" si="35"/>
        <v>0</v>
      </c>
      <c r="P143" s="484">
        <f t="shared" si="36"/>
        <v>0</v>
      </c>
    </row>
    <row r="144" spans="2:16">
      <c r="B144" t="str">
        <f t="shared" si="16"/>
        <v/>
      </c>
      <c r="C144" s="479">
        <f>IF(D94="","-",+C143+1)</f>
        <v>2066</v>
      </c>
      <c r="D144" s="480">
        <f>IF(F143+SUM(E$100:E143)=D$93,F143,D$93-SUM(E$100:E143))</f>
        <v>0</v>
      </c>
      <c r="E144" s="377">
        <f t="shared" si="27"/>
        <v>0</v>
      </c>
      <c r="F144" s="481">
        <f t="shared" si="28"/>
        <v>0</v>
      </c>
      <c r="G144" s="481">
        <f t="shared" si="29"/>
        <v>0</v>
      </c>
      <c r="H144" s="459">
        <f t="shared" si="32"/>
        <v>0</v>
      </c>
      <c r="I144" s="446">
        <f t="shared" si="31"/>
        <v>0</v>
      </c>
      <c r="J144" s="484">
        <f t="shared" si="33"/>
        <v>0</v>
      </c>
      <c r="K144" s="484"/>
      <c r="L144" s="112"/>
      <c r="M144" s="484">
        <f t="shared" si="34"/>
        <v>0</v>
      </c>
      <c r="N144" s="112"/>
      <c r="O144" s="484">
        <f t="shared" si="35"/>
        <v>0</v>
      </c>
      <c r="P144" s="484">
        <f t="shared" si="36"/>
        <v>0</v>
      </c>
    </row>
    <row r="145" spans="2:16">
      <c r="B145" t="str">
        <f t="shared" si="16"/>
        <v/>
      </c>
      <c r="C145" s="479">
        <f>IF(D94="","-",+C144+1)</f>
        <v>2067</v>
      </c>
      <c r="D145" s="480">
        <f>IF(F144+SUM(E$100:E144)=D$93,F144,D$93-SUM(E$100:E144))</f>
        <v>0</v>
      </c>
      <c r="E145" s="377">
        <f t="shared" si="27"/>
        <v>0</v>
      </c>
      <c r="F145" s="481">
        <f t="shared" si="28"/>
        <v>0</v>
      </c>
      <c r="G145" s="481">
        <f t="shared" si="29"/>
        <v>0</v>
      </c>
      <c r="H145" s="459">
        <f t="shared" si="32"/>
        <v>0</v>
      </c>
      <c r="I145" s="446">
        <f t="shared" si="31"/>
        <v>0</v>
      </c>
      <c r="J145" s="484">
        <f t="shared" si="33"/>
        <v>0</v>
      </c>
      <c r="K145" s="484"/>
      <c r="L145" s="112"/>
      <c r="M145" s="484">
        <f t="shared" si="34"/>
        <v>0</v>
      </c>
      <c r="N145" s="112"/>
      <c r="O145" s="484">
        <f t="shared" si="35"/>
        <v>0</v>
      </c>
      <c r="P145" s="484">
        <f t="shared" si="36"/>
        <v>0</v>
      </c>
    </row>
    <row r="146" spans="2:16">
      <c r="B146" t="str">
        <f t="shared" si="16"/>
        <v/>
      </c>
      <c r="C146" s="479">
        <f>IF(D94="","-",+C145+1)</f>
        <v>2068</v>
      </c>
      <c r="D146" s="480">
        <f>IF(F145+SUM(E$100:E145)=D$93,F145,D$93-SUM(E$100:E145))</f>
        <v>0</v>
      </c>
      <c r="E146" s="377">
        <f t="shared" si="27"/>
        <v>0</v>
      </c>
      <c r="F146" s="481">
        <f t="shared" si="28"/>
        <v>0</v>
      </c>
      <c r="G146" s="481">
        <f t="shared" si="29"/>
        <v>0</v>
      </c>
      <c r="H146" s="459">
        <f t="shared" si="32"/>
        <v>0</v>
      </c>
      <c r="I146" s="446">
        <f t="shared" si="31"/>
        <v>0</v>
      </c>
      <c r="J146" s="484">
        <f t="shared" si="33"/>
        <v>0</v>
      </c>
      <c r="K146" s="484"/>
      <c r="L146" s="112"/>
      <c r="M146" s="484">
        <f t="shared" si="34"/>
        <v>0</v>
      </c>
      <c r="N146" s="112"/>
      <c r="O146" s="484">
        <f t="shared" si="35"/>
        <v>0</v>
      </c>
      <c r="P146" s="484">
        <f t="shared" si="36"/>
        <v>0</v>
      </c>
    </row>
    <row r="147" spans="2:16">
      <c r="B147" t="str">
        <f t="shared" si="16"/>
        <v/>
      </c>
      <c r="C147" s="479">
        <f>IF(D94="","-",+C146+1)</f>
        <v>2069</v>
      </c>
      <c r="D147" s="480">
        <f>IF(F146+SUM(E$100:E146)=D$93,F146,D$93-SUM(E$100:E146))</f>
        <v>0</v>
      </c>
      <c r="E147" s="377">
        <f t="shared" si="27"/>
        <v>0</v>
      </c>
      <c r="F147" s="481">
        <f t="shared" si="28"/>
        <v>0</v>
      </c>
      <c r="G147" s="481">
        <f t="shared" si="29"/>
        <v>0</v>
      </c>
      <c r="H147" s="459">
        <f t="shared" si="32"/>
        <v>0</v>
      </c>
      <c r="I147" s="446">
        <f t="shared" si="31"/>
        <v>0</v>
      </c>
      <c r="J147" s="484">
        <f t="shared" si="33"/>
        <v>0</v>
      </c>
      <c r="K147" s="484"/>
      <c r="L147" s="112"/>
      <c r="M147" s="484">
        <f t="shared" si="34"/>
        <v>0</v>
      </c>
      <c r="N147" s="112"/>
      <c r="O147" s="484">
        <f t="shared" si="35"/>
        <v>0</v>
      </c>
      <c r="P147" s="484">
        <f t="shared" si="36"/>
        <v>0</v>
      </c>
    </row>
    <row r="148" spans="2:16">
      <c r="B148" t="str">
        <f t="shared" si="16"/>
        <v/>
      </c>
      <c r="C148" s="479">
        <f>IF(D94="","-",+C147+1)</f>
        <v>2070</v>
      </c>
      <c r="D148" s="480">
        <f>IF(F147+SUM(E$100:E147)=D$93,F147,D$93-SUM(E$100:E147))</f>
        <v>0</v>
      </c>
      <c r="E148" s="377">
        <f t="shared" si="27"/>
        <v>0</v>
      </c>
      <c r="F148" s="481">
        <f t="shared" si="28"/>
        <v>0</v>
      </c>
      <c r="G148" s="481">
        <f t="shared" si="29"/>
        <v>0</v>
      </c>
      <c r="H148" s="459">
        <f t="shared" si="32"/>
        <v>0</v>
      </c>
      <c r="I148" s="446">
        <f t="shared" si="31"/>
        <v>0</v>
      </c>
      <c r="J148" s="484">
        <f t="shared" si="33"/>
        <v>0</v>
      </c>
      <c r="K148" s="484"/>
      <c r="L148" s="112"/>
      <c r="M148" s="484">
        <f t="shared" si="34"/>
        <v>0</v>
      </c>
      <c r="N148" s="112"/>
      <c r="O148" s="484">
        <f t="shared" si="35"/>
        <v>0</v>
      </c>
      <c r="P148" s="484">
        <f t="shared" si="36"/>
        <v>0</v>
      </c>
    </row>
    <row r="149" spans="2:16">
      <c r="B149" t="str">
        <f t="shared" si="16"/>
        <v/>
      </c>
      <c r="C149" s="479">
        <f>IF(D94="","-",+C148+1)</f>
        <v>2071</v>
      </c>
      <c r="D149" s="480">
        <f>IF(F148+SUM(E$100:E148)=D$93,F148,D$93-SUM(E$100:E148))</f>
        <v>0</v>
      </c>
      <c r="E149" s="377">
        <f t="shared" si="27"/>
        <v>0</v>
      </c>
      <c r="F149" s="481">
        <f t="shared" si="28"/>
        <v>0</v>
      </c>
      <c r="G149" s="481">
        <f t="shared" si="29"/>
        <v>0</v>
      </c>
      <c r="H149" s="459">
        <f t="shared" si="32"/>
        <v>0</v>
      </c>
      <c r="I149" s="446">
        <f t="shared" si="31"/>
        <v>0</v>
      </c>
      <c r="J149" s="484">
        <f t="shared" si="33"/>
        <v>0</v>
      </c>
      <c r="K149" s="484"/>
      <c r="L149" s="112"/>
      <c r="M149" s="484">
        <f t="shared" si="34"/>
        <v>0</v>
      </c>
      <c r="N149" s="112"/>
      <c r="O149" s="484">
        <f t="shared" si="35"/>
        <v>0</v>
      </c>
      <c r="P149" s="484">
        <f t="shared" si="36"/>
        <v>0</v>
      </c>
    </row>
    <row r="150" spans="2:16">
      <c r="B150" t="str">
        <f t="shared" si="16"/>
        <v/>
      </c>
      <c r="C150" s="479">
        <f>IF(D94="","-",+C149+1)</f>
        <v>2072</v>
      </c>
      <c r="D150" s="480">
        <f>IF(F149+SUM(E$100:E149)=D$93,F149,D$93-SUM(E$100:E149))</f>
        <v>0</v>
      </c>
      <c r="E150" s="377">
        <f t="shared" si="27"/>
        <v>0</v>
      </c>
      <c r="F150" s="481">
        <f t="shared" si="28"/>
        <v>0</v>
      </c>
      <c r="G150" s="481">
        <f t="shared" si="29"/>
        <v>0</v>
      </c>
      <c r="H150" s="459">
        <f t="shared" si="32"/>
        <v>0</v>
      </c>
      <c r="I150" s="446">
        <f t="shared" si="31"/>
        <v>0</v>
      </c>
      <c r="J150" s="484">
        <f t="shared" si="33"/>
        <v>0</v>
      </c>
      <c r="K150" s="484"/>
      <c r="L150" s="112"/>
      <c r="M150" s="484">
        <f t="shared" si="34"/>
        <v>0</v>
      </c>
      <c r="N150" s="112"/>
      <c r="O150" s="484">
        <f t="shared" si="35"/>
        <v>0</v>
      </c>
      <c r="P150" s="484">
        <f t="shared" si="36"/>
        <v>0</v>
      </c>
    </row>
    <row r="151" spans="2:16">
      <c r="B151" t="str">
        <f t="shared" si="16"/>
        <v/>
      </c>
      <c r="C151" s="479">
        <f>IF(D94="","-",+C150+1)</f>
        <v>2073</v>
      </c>
      <c r="D151" s="480">
        <f>IF(F150+SUM(E$100:E150)=D$93,F150,D$93-SUM(E$100:E150))</f>
        <v>0</v>
      </c>
      <c r="E151" s="377">
        <f t="shared" si="27"/>
        <v>0</v>
      </c>
      <c r="F151" s="481">
        <f t="shared" si="28"/>
        <v>0</v>
      </c>
      <c r="G151" s="481">
        <f t="shared" si="29"/>
        <v>0</v>
      </c>
      <c r="H151" s="459">
        <f t="shared" si="32"/>
        <v>0</v>
      </c>
      <c r="I151" s="446">
        <f t="shared" si="31"/>
        <v>0</v>
      </c>
      <c r="J151" s="484">
        <f t="shared" si="33"/>
        <v>0</v>
      </c>
      <c r="K151" s="484"/>
      <c r="L151" s="112"/>
      <c r="M151" s="484">
        <f t="shared" si="34"/>
        <v>0</v>
      </c>
      <c r="N151" s="112"/>
      <c r="O151" s="484">
        <f t="shared" si="35"/>
        <v>0</v>
      </c>
      <c r="P151" s="484">
        <f t="shared" si="36"/>
        <v>0</v>
      </c>
    </row>
    <row r="152" spans="2:16">
      <c r="B152" t="str">
        <f t="shared" si="16"/>
        <v/>
      </c>
      <c r="C152" s="479">
        <f>IF(D94="","-",+C151+1)</f>
        <v>2074</v>
      </c>
      <c r="D152" s="480">
        <f>IF(F151+SUM(E$100:E151)=D$93,F151,D$93-SUM(E$100:E151))</f>
        <v>0</v>
      </c>
      <c r="E152" s="377">
        <f t="shared" si="27"/>
        <v>0</v>
      </c>
      <c r="F152" s="481">
        <f t="shared" si="28"/>
        <v>0</v>
      </c>
      <c r="G152" s="481">
        <f t="shared" si="29"/>
        <v>0</v>
      </c>
      <c r="H152" s="459">
        <f t="shared" si="32"/>
        <v>0</v>
      </c>
      <c r="I152" s="446">
        <f t="shared" si="31"/>
        <v>0</v>
      </c>
      <c r="J152" s="484">
        <f t="shared" si="33"/>
        <v>0</v>
      </c>
      <c r="K152" s="484"/>
      <c r="L152" s="112"/>
      <c r="M152" s="484">
        <f t="shared" si="34"/>
        <v>0</v>
      </c>
      <c r="N152" s="112"/>
      <c r="O152" s="484">
        <f t="shared" si="35"/>
        <v>0</v>
      </c>
      <c r="P152" s="484">
        <f t="shared" si="36"/>
        <v>0</v>
      </c>
    </row>
    <row r="153" spans="2:16">
      <c r="B153" t="str">
        <f t="shared" si="16"/>
        <v/>
      </c>
      <c r="C153" s="479">
        <f>IF(D94="","-",+C152+1)</f>
        <v>2075</v>
      </c>
      <c r="D153" s="480">
        <f>IF(F152+SUM(E$100:E152)=D$93,F152,D$93-SUM(E$100:E152))</f>
        <v>0</v>
      </c>
      <c r="E153" s="377">
        <f t="shared" si="27"/>
        <v>0</v>
      </c>
      <c r="F153" s="481">
        <f t="shared" si="28"/>
        <v>0</v>
      </c>
      <c r="G153" s="481">
        <f t="shared" si="29"/>
        <v>0</v>
      </c>
      <c r="H153" s="459">
        <f t="shared" si="32"/>
        <v>0</v>
      </c>
      <c r="I153" s="446">
        <f t="shared" si="31"/>
        <v>0</v>
      </c>
      <c r="J153" s="484">
        <f t="shared" si="33"/>
        <v>0</v>
      </c>
      <c r="K153" s="484"/>
      <c r="L153" s="112"/>
      <c r="M153" s="484">
        <f t="shared" si="34"/>
        <v>0</v>
      </c>
      <c r="N153" s="112"/>
      <c r="O153" s="484">
        <f t="shared" si="35"/>
        <v>0</v>
      </c>
      <c r="P153" s="484">
        <f t="shared" si="36"/>
        <v>0</v>
      </c>
    </row>
    <row r="154" spans="2:16">
      <c r="B154" t="str">
        <f t="shared" si="16"/>
        <v/>
      </c>
      <c r="C154" s="479">
        <f>IF(D94="","-",+C153+1)</f>
        <v>2076</v>
      </c>
      <c r="D154" s="480">
        <f>IF(F153+SUM(E$100:E153)=D$93,F153,D$93-SUM(E$100:E153))</f>
        <v>0</v>
      </c>
      <c r="E154" s="377">
        <f t="shared" si="27"/>
        <v>0</v>
      </c>
      <c r="F154" s="481">
        <f t="shared" si="28"/>
        <v>0</v>
      </c>
      <c r="G154" s="481">
        <f t="shared" si="29"/>
        <v>0</v>
      </c>
      <c r="H154" s="459">
        <f t="shared" si="32"/>
        <v>0</v>
      </c>
      <c r="I154" s="446">
        <f t="shared" si="31"/>
        <v>0</v>
      </c>
      <c r="J154" s="484">
        <f t="shared" si="33"/>
        <v>0</v>
      </c>
      <c r="K154" s="484"/>
      <c r="L154" s="112"/>
      <c r="M154" s="484">
        <f t="shared" si="34"/>
        <v>0</v>
      </c>
      <c r="N154" s="112"/>
      <c r="O154" s="484">
        <f t="shared" si="35"/>
        <v>0</v>
      </c>
      <c r="P154" s="484">
        <f t="shared" si="36"/>
        <v>0</v>
      </c>
    </row>
    <row r="155" spans="2:16" ht="13.5" thickBot="1">
      <c r="B155" t="str">
        <f t="shared" si="16"/>
        <v/>
      </c>
      <c r="C155" s="487">
        <f>IF(D94="","-",+C154+1)</f>
        <v>2077</v>
      </c>
      <c r="D155" s="509">
        <f>IF(F154+SUM(E$100:E154)=D$93,F154,D$93-SUM(E$100:E154))</f>
        <v>0</v>
      </c>
      <c r="E155" s="389">
        <f t="shared" si="27"/>
        <v>0</v>
      </c>
      <c r="F155" s="488">
        <f t="shared" si="28"/>
        <v>0</v>
      </c>
      <c r="G155" s="488">
        <f t="shared" si="29"/>
        <v>0</v>
      </c>
      <c r="H155" s="459">
        <f t="shared" si="32"/>
        <v>0</v>
      </c>
      <c r="I155" s="443">
        <f t="shared" si="31"/>
        <v>0</v>
      </c>
      <c r="J155" s="491">
        <f t="shared" si="33"/>
        <v>0</v>
      </c>
      <c r="K155" s="484"/>
      <c r="L155" s="113"/>
      <c r="M155" s="491">
        <f t="shared" si="34"/>
        <v>0</v>
      </c>
      <c r="N155" s="113"/>
      <c r="O155" s="491">
        <f t="shared" si="35"/>
        <v>0</v>
      </c>
      <c r="P155" s="491">
        <f t="shared" si="36"/>
        <v>0</v>
      </c>
    </row>
    <row r="156" spans="2:16">
      <c r="C156" s="480" t="s">
        <v>75</v>
      </c>
      <c r="D156" s="468"/>
      <c r="E156" s="468">
        <f>SUM(E100:E155)</f>
        <v>3900461.0099999993</v>
      </c>
      <c r="F156" s="468"/>
      <c r="G156" s="468"/>
      <c r="H156" s="468">
        <f>SUM(H100:H155)</f>
        <v>8749920.3307484034</v>
      </c>
      <c r="I156" s="468">
        <f>SUM(I100:I155)</f>
        <v>8749920.3307484034</v>
      </c>
      <c r="J156" s="468">
        <f>SUM(J100:J155)</f>
        <v>0</v>
      </c>
      <c r="K156" s="468"/>
      <c r="L156" s="468"/>
      <c r="M156" s="468"/>
      <c r="N156" s="468"/>
      <c r="O156" s="468"/>
      <c r="P156" s="465"/>
    </row>
    <row r="157" spans="2:16">
      <c r="C157" t="s">
        <v>90</v>
      </c>
      <c r="D157" s="466"/>
      <c r="E157" s="465"/>
      <c r="F157" s="465"/>
      <c r="G157" s="465"/>
      <c r="H157" s="465"/>
      <c r="I157" s="467"/>
      <c r="J157" s="467"/>
      <c r="K157" s="468"/>
      <c r="L157" s="467"/>
      <c r="M157" s="467"/>
      <c r="N157" s="467"/>
      <c r="O157" s="467"/>
      <c r="P157" s="465"/>
    </row>
    <row r="158" spans="2:16">
      <c r="C158" s="83"/>
      <c r="D158" s="466"/>
      <c r="E158" s="465"/>
      <c r="F158" s="465"/>
      <c r="G158" s="465"/>
      <c r="H158" s="465"/>
      <c r="I158" s="467"/>
      <c r="J158" s="467"/>
      <c r="K158" s="468"/>
      <c r="L158" s="467"/>
      <c r="M158" s="467"/>
      <c r="N158" s="467"/>
      <c r="O158" s="467"/>
      <c r="P158" s="465"/>
    </row>
    <row r="159" spans="2:16">
      <c r="C159" s="97" t="s">
        <v>130</v>
      </c>
      <c r="D159" s="466"/>
      <c r="E159" s="465"/>
      <c r="F159" s="465"/>
      <c r="G159" s="465"/>
      <c r="H159" s="465"/>
      <c r="I159" s="467"/>
      <c r="J159" s="467"/>
      <c r="K159" s="468"/>
      <c r="L159" s="467"/>
      <c r="M159" s="467"/>
      <c r="N159" s="467"/>
      <c r="O159" s="467"/>
      <c r="P159" s="465"/>
    </row>
    <row r="160" spans="2:16">
      <c r="C160" s="25" t="s">
        <v>76</v>
      </c>
      <c r="D160" s="480"/>
      <c r="E160" s="480"/>
      <c r="F160" s="480"/>
      <c r="G160" s="480"/>
      <c r="H160" s="468"/>
      <c r="I160" s="468"/>
      <c r="J160" s="492"/>
      <c r="K160" s="492"/>
      <c r="L160" s="492"/>
      <c r="M160" s="492"/>
      <c r="N160" s="492"/>
      <c r="O160" s="492"/>
      <c r="P160" s="465"/>
    </row>
    <row r="161" spans="3:16">
      <c r="C161" s="84" t="s">
        <v>77</v>
      </c>
      <c r="D161" s="480"/>
      <c r="E161" s="480"/>
      <c r="F161" s="480"/>
      <c r="G161" s="480"/>
      <c r="H161" s="468"/>
      <c r="I161" s="468"/>
      <c r="J161" s="492"/>
      <c r="K161" s="492"/>
      <c r="L161" s="492"/>
      <c r="M161" s="492"/>
      <c r="N161" s="492"/>
      <c r="O161" s="492"/>
      <c r="P161" s="465"/>
    </row>
    <row r="162" spans="3:16">
      <c r="C162" s="84"/>
      <c r="D162" s="480"/>
      <c r="E162" s="480"/>
      <c r="F162" s="480"/>
      <c r="G162" s="480"/>
      <c r="H162" s="468"/>
      <c r="I162" s="468"/>
      <c r="J162" s="492"/>
      <c r="K162" s="492"/>
      <c r="L162" s="492"/>
      <c r="M162" s="492"/>
      <c r="N162" s="492"/>
      <c r="O162" s="492"/>
      <c r="P162" s="465"/>
    </row>
    <row r="163" spans="3:16" ht="18">
      <c r="C163" s="84"/>
      <c r="D163" s="480"/>
      <c r="E163" s="480"/>
      <c r="F163" s="480"/>
      <c r="G163" s="480"/>
      <c r="H163" s="468"/>
      <c r="I163" s="468"/>
      <c r="J163" s="492"/>
      <c r="K163" s="492"/>
      <c r="L163" s="492"/>
      <c r="M163" s="492"/>
      <c r="N163" s="492"/>
      <c r="P163" s="95" t="s">
        <v>129</v>
      </c>
    </row>
  </sheetData>
  <conditionalFormatting sqref="C17:C73">
    <cfRule type="cellIs" dxfId="13" priority="1" stopIfTrue="1" operator="equal">
      <formula>$I$10</formula>
    </cfRule>
  </conditionalFormatting>
  <conditionalFormatting sqref="C100:C155">
    <cfRule type="cellIs" dxfId="12" priority="3" stopIfTrue="1" operator="equal">
      <formula>$J$93</formula>
    </cfRule>
  </conditionalFormatting>
  <pageMargins left="0.5" right="0.25" top="1" bottom="0.35" header="0.25" footer="0.5"/>
  <pageSetup scale="47"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2CADE2-3824-4515-8A31-804FB457AA1B}">
  <dimension ref="A1:P163"/>
  <sheetViews>
    <sheetView topLeftCell="A58" zoomScale="80" zoomScaleNormal="80" workbookViewId="0">
      <selection activeCell="D93" sqref="D93"/>
    </sheetView>
  </sheetViews>
  <sheetFormatPr defaultRowHeight="12.75"/>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s>
  <sheetData>
    <row r="1" spans="1:16" ht="20.25">
      <c r="A1" s="93" t="s">
        <v>189</v>
      </c>
      <c r="B1" s="465"/>
      <c r="C1" s="465"/>
      <c r="D1" s="466"/>
      <c r="E1" s="465"/>
      <c r="F1" s="280"/>
      <c r="G1" s="465"/>
      <c r="H1" s="467"/>
      <c r="K1" s="12"/>
      <c r="L1" s="12"/>
      <c r="M1" s="12"/>
      <c r="P1" s="98" t="str">
        <f ca="1">"OKT Project "&amp;RIGHT(MID(CELL("filename",$A$1),FIND("]",CELL("filename",$A$1))+1,256),2)&amp;" of "&amp;COUNT('OKT.001:OKT.xyz - blank'!$P$3)-1</f>
        <v>OKT Project 22 of 26</v>
      </c>
    </row>
    <row r="2" spans="1:16" ht="18">
      <c r="B2" s="465"/>
      <c r="C2" s="465"/>
      <c r="D2" s="466"/>
      <c r="E2" s="465"/>
      <c r="F2" s="465"/>
      <c r="G2" s="465"/>
      <c r="H2" s="467"/>
      <c r="I2" s="465"/>
      <c r="J2" s="465"/>
      <c r="K2" s="465"/>
      <c r="L2" s="465"/>
      <c r="M2" s="465"/>
      <c r="N2" s="465"/>
      <c r="P2" s="99" t="s">
        <v>131</v>
      </c>
    </row>
    <row r="3" spans="1:16" ht="18.75">
      <c r="B3" s="4" t="s">
        <v>42</v>
      </c>
      <c r="C3" s="9" t="s">
        <v>43</v>
      </c>
      <c r="D3" s="466"/>
      <c r="E3" s="465"/>
      <c r="F3" s="465"/>
      <c r="G3" s="465"/>
      <c r="H3" s="467"/>
      <c r="I3" s="467"/>
      <c r="J3" s="468"/>
      <c r="K3" s="467"/>
      <c r="L3" s="467"/>
      <c r="M3" s="467"/>
      <c r="N3" s="467"/>
      <c r="O3" s="465"/>
      <c r="P3" s="91">
        <v>1</v>
      </c>
    </row>
    <row r="4" spans="1:16" ht="15.75" thickBot="1">
      <c r="C4" s="8"/>
      <c r="D4" s="466"/>
      <c r="E4" s="465"/>
      <c r="F4" s="465"/>
      <c r="G4" s="465"/>
      <c r="H4" s="467"/>
      <c r="I4" s="467"/>
      <c r="J4" s="468"/>
      <c r="K4" s="467"/>
      <c r="L4" s="467"/>
      <c r="M4" s="467"/>
      <c r="N4" s="467"/>
      <c r="O4" s="465"/>
      <c r="P4" s="465"/>
    </row>
    <row r="5" spans="1:16" ht="15">
      <c r="C5" s="14" t="s">
        <v>44</v>
      </c>
      <c r="D5" s="466"/>
      <c r="E5" s="465"/>
      <c r="F5" s="465"/>
      <c r="G5" s="15"/>
      <c r="H5" s="465" t="s">
        <v>45</v>
      </c>
      <c r="I5" s="465"/>
      <c r="J5" s="465"/>
      <c r="K5" s="16" t="s">
        <v>242</v>
      </c>
      <c r="L5" s="17"/>
      <c r="M5" s="469"/>
      <c r="N5" s="19">
        <f>VLOOKUP(I10,C17:I73,5)</f>
        <v>920111.30131384754</v>
      </c>
      <c r="P5" s="465"/>
    </row>
    <row r="6" spans="1:16" ht="15.75">
      <c r="C6" s="6"/>
      <c r="D6" s="466"/>
      <c r="E6" s="465"/>
      <c r="F6" s="465"/>
      <c r="G6" s="465"/>
      <c r="H6" s="20"/>
      <c r="I6" s="20"/>
      <c r="J6" s="21"/>
      <c r="K6" s="22" t="s">
        <v>243</v>
      </c>
      <c r="L6" s="23"/>
      <c r="M6" s="465"/>
      <c r="N6" s="24">
        <f>VLOOKUP(I10,C17:I73,6)</f>
        <v>920111.30131384754</v>
      </c>
      <c r="O6" s="465"/>
      <c r="P6" s="465"/>
    </row>
    <row r="7" spans="1:16" ht="13.5" thickBot="1">
      <c r="C7" s="25" t="s">
        <v>46</v>
      </c>
      <c r="D7" s="87" t="s">
        <v>296</v>
      </c>
      <c r="E7" s="465"/>
      <c r="F7" s="465"/>
      <c r="G7" s="465"/>
      <c r="H7" s="467"/>
      <c r="I7" s="467"/>
      <c r="J7" s="468"/>
      <c r="K7" s="26" t="s">
        <v>47</v>
      </c>
      <c r="L7" s="470"/>
      <c r="M7" s="470"/>
      <c r="N7" s="471">
        <f>+N6-N5</f>
        <v>0</v>
      </c>
      <c r="O7" s="465"/>
      <c r="P7" s="465"/>
    </row>
    <row r="8" spans="1:16" ht="13.5" thickBot="1">
      <c r="C8" s="29"/>
      <c r="D8" s="83"/>
      <c r="E8" s="472"/>
      <c r="F8" s="472"/>
      <c r="G8" s="472"/>
      <c r="H8" s="472"/>
      <c r="I8" s="472"/>
      <c r="J8" s="472"/>
      <c r="K8" s="472"/>
      <c r="L8" s="472"/>
      <c r="M8" s="472"/>
      <c r="N8" s="472"/>
      <c r="O8" s="472"/>
      <c r="P8" s="465"/>
    </row>
    <row r="9" spans="1:16" ht="13.5" thickBot="1">
      <c r="C9" s="30" t="s">
        <v>48</v>
      </c>
      <c r="D9" s="89" t="s">
        <v>297</v>
      </c>
      <c r="E9" s="473" t="s">
        <v>298</v>
      </c>
      <c r="F9" s="31"/>
      <c r="G9" s="31"/>
      <c r="H9" s="31"/>
      <c r="I9" s="32"/>
      <c r="J9" s="33"/>
      <c r="P9" s="465"/>
    </row>
    <row r="10" spans="1:16">
      <c r="C10" s="474" t="s">
        <v>49</v>
      </c>
      <c r="D10" s="35">
        <v>6667707.9799999995</v>
      </c>
      <c r="E10" s="465" t="s">
        <v>50</v>
      </c>
      <c r="G10" s="466"/>
      <c r="H10" s="466"/>
      <c r="I10" s="36">
        <v>2025</v>
      </c>
      <c r="J10" s="33"/>
      <c r="K10" s="468" t="s">
        <v>51</v>
      </c>
      <c r="O10" s="465"/>
      <c r="P10" s="465"/>
    </row>
    <row r="11" spans="1:16">
      <c r="C11" s="474" t="s">
        <v>52</v>
      </c>
      <c r="D11" s="37">
        <v>2022</v>
      </c>
      <c r="E11" s="474" t="s">
        <v>53</v>
      </c>
      <c r="F11" s="466"/>
      <c r="I11" s="475">
        <v>0</v>
      </c>
      <c r="J11" s="476"/>
      <c r="K11" t="str">
        <f>"          INPUT PROJECTED ARR (WITH &amp; WITHOUT INCENTIVES) FROM EACH PRIOR YEAR"</f>
        <v xml:space="preserve">          INPUT PROJECTED ARR (WITH &amp; WITHOUT INCENTIVES) FROM EACH PRIOR YEAR</v>
      </c>
      <c r="O11" s="465"/>
      <c r="P11" s="465"/>
    </row>
    <row r="12" spans="1:16">
      <c r="B12">
        <v>6</v>
      </c>
      <c r="C12" s="474" t="s">
        <v>54</v>
      </c>
      <c r="D12" s="358">
        <v>6</v>
      </c>
      <c r="E12" s="474" t="s">
        <v>55</v>
      </c>
      <c r="F12" s="466"/>
      <c r="I12" s="477">
        <v>0.11475877389767174</v>
      </c>
      <c r="J12" s="280"/>
      <c r="K12" t="s">
        <v>56</v>
      </c>
      <c r="O12" s="465"/>
      <c r="P12" s="465"/>
    </row>
    <row r="13" spans="1:16">
      <c r="C13" s="474" t="s">
        <v>57</v>
      </c>
      <c r="D13" s="475">
        <v>33</v>
      </c>
      <c r="E13" s="474" t="s">
        <v>58</v>
      </c>
      <c r="F13" s="466"/>
      <c r="I13" s="477">
        <v>0.11475877389767174</v>
      </c>
      <c r="J13" s="280"/>
      <c r="K13" s="468" t="s">
        <v>59</v>
      </c>
      <c r="L13" s="280"/>
      <c r="M13" s="280"/>
      <c r="N13" s="280"/>
      <c r="O13" s="465"/>
      <c r="P13" s="465"/>
    </row>
    <row r="14" spans="1:16" ht="13.5" thickBot="1">
      <c r="C14" s="474" t="s">
        <v>60</v>
      </c>
      <c r="D14" s="37" t="s">
        <v>61</v>
      </c>
      <c r="E14" s="465" t="s">
        <v>62</v>
      </c>
      <c r="F14" s="466"/>
      <c r="I14" s="478">
        <f>IF(D10=0,0,D10/D13)</f>
        <v>202051.75696969696</v>
      </c>
      <c r="J14" s="468"/>
      <c r="K14" s="468"/>
      <c r="L14" s="468"/>
      <c r="M14" s="468"/>
      <c r="N14" s="468"/>
      <c r="O14" s="465"/>
      <c r="P14" s="465"/>
    </row>
    <row r="15" spans="1:16" ht="38.25">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465"/>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465"/>
    </row>
    <row r="17" spans="2:16">
      <c r="B17" t="str">
        <f t="shared" ref="B17:B71" si="0">IF(D17=F16,"","IU")</f>
        <v>IU</v>
      </c>
      <c r="C17" s="479">
        <f>IF(D11= "","-",D11)</f>
        <v>2022</v>
      </c>
      <c r="D17" s="455">
        <v>0</v>
      </c>
      <c r="E17" s="457">
        <v>30556.858585858587</v>
      </c>
      <c r="F17" s="457">
        <v>6019701.1414141413</v>
      </c>
      <c r="G17" s="457">
        <v>375963.61969540955</v>
      </c>
      <c r="H17" s="457">
        <v>375963.61969540955</v>
      </c>
      <c r="I17" s="482">
        <f t="shared" ref="I17:I71" si="1">H17-G17</f>
        <v>0</v>
      </c>
      <c r="J17" s="482"/>
      <c r="K17" s="114">
        <f>+G17</f>
        <v>375963.61969540955</v>
      </c>
      <c r="L17" s="52">
        <f t="shared" ref="L17:L18" si="2">IF(K17&lt;&gt;0,+G17-K17,0)</f>
        <v>0</v>
      </c>
      <c r="M17" s="114">
        <f>+H17</f>
        <v>375963.61969540955</v>
      </c>
      <c r="N17" s="483">
        <f t="shared" ref="N17:N71" si="3">IF(M17&lt;&gt;0,+H17-M17,0)</f>
        <v>0</v>
      </c>
      <c r="O17" s="484">
        <f t="shared" ref="O17:O71" si="4">+N17-L17</f>
        <v>0</v>
      </c>
      <c r="P17" s="465"/>
    </row>
    <row r="18" spans="2:16">
      <c r="B18" t="str">
        <f t="shared" si="0"/>
        <v>IU</v>
      </c>
      <c r="C18" s="479">
        <f>IF(D11="","-",+C17+1)</f>
        <v>2023</v>
      </c>
      <c r="D18" s="435">
        <v>6587038.1414141413</v>
      </c>
      <c r="E18" s="434">
        <v>213470.80645161291</v>
      </c>
      <c r="F18" s="435">
        <v>6373567.3349625282</v>
      </c>
      <c r="G18" s="434">
        <v>945957.92644739733</v>
      </c>
      <c r="H18" s="438">
        <v>945957.92644739733</v>
      </c>
      <c r="I18" s="482">
        <f t="shared" si="1"/>
        <v>0</v>
      </c>
      <c r="J18" s="482"/>
      <c r="K18" s="419">
        <f>+G18</f>
        <v>945957.92644739733</v>
      </c>
      <c r="L18" s="422">
        <f t="shared" si="2"/>
        <v>0</v>
      </c>
      <c r="M18" s="419">
        <f>+H18</f>
        <v>945957.92644739733</v>
      </c>
      <c r="N18" s="484">
        <f t="shared" si="3"/>
        <v>0</v>
      </c>
      <c r="O18" s="484">
        <f t="shared" si="4"/>
        <v>0</v>
      </c>
      <c r="P18" s="465"/>
    </row>
    <row r="19" spans="2:16">
      <c r="B19" t="str">
        <f t="shared" si="0"/>
        <v>IU</v>
      </c>
      <c r="C19" s="479">
        <f>IF(D11="","-",+C18+1)</f>
        <v>2024</v>
      </c>
      <c r="D19" s="435">
        <v>6423680.3349625282</v>
      </c>
      <c r="E19" s="434">
        <v>215087.35483870967</v>
      </c>
      <c r="F19" s="435">
        <v>6208592.9801238189</v>
      </c>
      <c r="G19" s="434">
        <v>934695.11944724119</v>
      </c>
      <c r="H19" s="438">
        <v>934695.11944724119</v>
      </c>
      <c r="I19" s="482">
        <f t="shared" si="1"/>
        <v>0</v>
      </c>
      <c r="J19" s="482"/>
      <c r="K19" s="419">
        <f>+G19</f>
        <v>934695.11944724119</v>
      </c>
      <c r="L19" s="422">
        <f t="shared" ref="L19" si="5">IF(K19&lt;&gt;0,+G19-K19,0)</f>
        <v>0</v>
      </c>
      <c r="M19" s="419">
        <f>+H19</f>
        <v>934695.11944724119</v>
      </c>
      <c r="N19" s="484">
        <f t="shared" ref="N19" si="6">IF(M19&lt;&gt;0,+H19-M19,0)</f>
        <v>0</v>
      </c>
      <c r="O19" s="484">
        <f t="shared" ref="O19" si="7">+N19-L19</f>
        <v>0</v>
      </c>
      <c r="P19" s="465"/>
    </row>
    <row r="20" spans="2:16">
      <c r="B20" t="str">
        <f t="shared" si="0"/>
        <v>IU</v>
      </c>
      <c r="C20" s="479">
        <f>IF(D11="","-",+C19+1)</f>
        <v>2025</v>
      </c>
      <c r="D20" s="435">
        <v>6208592.9601238184</v>
      </c>
      <c r="E20" s="434">
        <v>222256.93266666666</v>
      </c>
      <c r="F20" s="435">
        <v>5986336.0274571516</v>
      </c>
      <c r="G20" s="434">
        <v>920111.30131384754</v>
      </c>
      <c r="H20" s="438">
        <v>920111.30131384754</v>
      </c>
      <c r="I20" s="482">
        <f t="shared" si="1"/>
        <v>0</v>
      </c>
      <c r="J20" s="482"/>
      <c r="K20" s="419">
        <f>+G20</f>
        <v>920111.30131384754</v>
      </c>
      <c r="L20" s="422">
        <f t="shared" ref="L20" si="8">IF(K20&lt;&gt;0,+G20-K20,0)</f>
        <v>0</v>
      </c>
      <c r="M20" s="419">
        <f>+H20</f>
        <v>920111.30131384754</v>
      </c>
      <c r="N20" s="484">
        <f t="shared" ref="N20" si="9">IF(M20&lt;&gt;0,+H20-M20,0)</f>
        <v>0</v>
      </c>
      <c r="O20" s="484">
        <f t="shared" ref="O20" si="10">+N20-L20</f>
        <v>0</v>
      </c>
      <c r="P20" s="465"/>
    </row>
    <row r="21" spans="2:16">
      <c r="B21" t="str">
        <f t="shared" si="0"/>
        <v/>
      </c>
      <c r="C21" s="479">
        <f>IF(D11="","-",+C20+1)</f>
        <v>2026</v>
      </c>
      <c r="D21" s="481">
        <f>IF(F20+SUM(E$17:E20)=D$10,F20,D$10-SUM(E$17:E20))</f>
        <v>5986336.0274571516</v>
      </c>
      <c r="E21" s="55">
        <f t="shared" ref="E21:E71" si="11">IF(+I$14&lt;F20,I$14,D21)</f>
        <v>202051.75696969696</v>
      </c>
      <c r="F21" s="481">
        <f t="shared" ref="F21:F71" si="12">+D21-E21</f>
        <v>5784284.2704874547</v>
      </c>
      <c r="G21" s="485">
        <f t="shared" ref="G21:G71" si="13">(D21+F21)/2*I$12+E21</f>
        <v>877442.7336732822</v>
      </c>
      <c r="H21" s="478">
        <f t="shared" ref="H21:H71" si="14">+(D21+F21)/2*I$13+E21</f>
        <v>877442.7336732822</v>
      </c>
      <c r="I21" s="482">
        <f t="shared" si="1"/>
        <v>0</v>
      </c>
      <c r="J21" s="482"/>
      <c r="K21" s="112"/>
      <c r="L21" s="484">
        <f t="shared" ref="L21:L71" si="15">IF(K21&lt;&gt;0,+G21-K21,0)</f>
        <v>0</v>
      </c>
      <c r="M21" s="112"/>
      <c r="N21" s="484">
        <f t="shared" si="3"/>
        <v>0</v>
      </c>
      <c r="O21" s="484">
        <f t="shared" si="4"/>
        <v>0</v>
      </c>
      <c r="P21" s="465"/>
    </row>
    <row r="22" spans="2:16">
      <c r="B22" t="str">
        <f t="shared" si="0"/>
        <v/>
      </c>
      <c r="C22" s="479">
        <f>IF(D11="","-",+C21+1)</f>
        <v>2027</v>
      </c>
      <c r="D22" s="481">
        <f>IF(F21+SUM(E$17:E21)=D$10,F21,D$10-SUM(E$17:E21))</f>
        <v>5784284.2704874547</v>
      </c>
      <c r="E22" s="55">
        <f t="shared" si="11"/>
        <v>202051.75696969696</v>
      </c>
      <c r="F22" s="481">
        <f t="shared" si="12"/>
        <v>5582232.5135177579</v>
      </c>
      <c r="G22" s="485">
        <f t="shared" si="13"/>
        <v>854255.52177956956</v>
      </c>
      <c r="H22" s="478">
        <f t="shared" si="14"/>
        <v>854255.52177956956</v>
      </c>
      <c r="I22" s="482">
        <f t="shared" si="1"/>
        <v>0</v>
      </c>
      <c r="J22" s="482"/>
      <c r="K22" s="112"/>
      <c r="L22" s="484">
        <f t="shared" si="15"/>
        <v>0</v>
      </c>
      <c r="M22" s="112"/>
      <c r="N22" s="484">
        <f t="shared" si="3"/>
        <v>0</v>
      </c>
      <c r="O22" s="484">
        <f t="shared" si="4"/>
        <v>0</v>
      </c>
      <c r="P22" s="465"/>
    </row>
    <row r="23" spans="2:16">
      <c r="B23" t="str">
        <f t="shared" si="0"/>
        <v/>
      </c>
      <c r="C23" s="479">
        <f>IF(D11="","-",+C22+1)</f>
        <v>2028</v>
      </c>
      <c r="D23" s="481">
        <f>IF(F22+SUM(E$17:E22)=D$10,F22,D$10-SUM(E$17:E22))</f>
        <v>5582232.5135177579</v>
      </c>
      <c r="E23" s="55">
        <f t="shared" si="11"/>
        <v>202051.75696969696</v>
      </c>
      <c r="F23" s="481">
        <f t="shared" si="12"/>
        <v>5380180.756548061</v>
      </c>
      <c r="G23" s="485">
        <f t="shared" si="13"/>
        <v>831068.3098858567</v>
      </c>
      <c r="H23" s="478">
        <f t="shared" si="14"/>
        <v>831068.3098858567</v>
      </c>
      <c r="I23" s="482">
        <f t="shared" si="1"/>
        <v>0</v>
      </c>
      <c r="J23" s="482"/>
      <c r="K23" s="112"/>
      <c r="L23" s="484">
        <f t="shared" si="15"/>
        <v>0</v>
      </c>
      <c r="M23" s="112"/>
      <c r="N23" s="484">
        <f t="shared" si="3"/>
        <v>0</v>
      </c>
      <c r="O23" s="484">
        <f t="shared" si="4"/>
        <v>0</v>
      </c>
      <c r="P23" s="465"/>
    </row>
    <row r="24" spans="2:16">
      <c r="B24" t="str">
        <f t="shared" si="0"/>
        <v/>
      </c>
      <c r="C24" s="479">
        <f>IF(D11="","-",+C23+1)</f>
        <v>2029</v>
      </c>
      <c r="D24" s="481">
        <f>IF(F23+SUM(E$17:E23)=D$10,F23,D$10-SUM(E$17:E23))</f>
        <v>5380180.756548061</v>
      </c>
      <c r="E24" s="55">
        <f t="shared" si="11"/>
        <v>202051.75696969696</v>
      </c>
      <c r="F24" s="481">
        <f t="shared" si="12"/>
        <v>5178128.9995783642</v>
      </c>
      <c r="G24" s="485">
        <f t="shared" si="13"/>
        <v>807881.09799214406</v>
      </c>
      <c r="H24" s="478">
        <f t="shared" si="14"/>
        <v>807881.09799214406</v>
      </c>
      <c r="I24" s="482">
        <f t="shared" si="1"/>
        <v>0</v>
      </c>
      <c r="J24" s="482"/>
      <c r="K24" s="112"/>
      <c r="L24" s="484">
        <f t="shared" si="15"/>
        <v>0</v>
      </c>
      <c r="M24" s="112"/>
      <c r="N24" s="484">
        <f t="shared" si="3"/>
        <v>0</v>
      </c>
      <c r="O24" s="484">
        <f t="shared" si="4"/>
        <v>0</v>
      </c>
      <c r="P24" s="465"/>
    </row>
    <row r="25" spans="2:16">
      <c r="B25" t="str">
        <f t="shared" si="0"/>
        <v/>
      </c>
      <c r="C25" s="479">
        <f>IF(D11="","-",+C24+1)</f>
        <v>2030</v>
      </c>
      <c r="D25" s="481">
        <f>IF(F24+SUM(E$17:E24)=D$10,F24,D$10-SUM(E$17:E24))</f>
        <v>5178128.9995783642</v>
      </c>
      <c r="E25" s="55">
        <f t="shared" si="11"/>
        <v>202051.75696969696</v>
      </c>
      <c r="F25" s="481">
        <f t="shared" si="12"/>
        <v>4976077.2426086674</v>
      </c>
      <c r="G25" s="485">
        <f t="shared" si="13"/>
        <v>784693.88609843119</v>
      </c>
      <c r="H25" s="478">
        <f t="shared" si="14"/>
        <v>784693.88609843119</v>
      </c>
      <c r="I25" s="482">
        <f t="shared" si="1"/>
        <v>0</v>
      </c>
      <c r="J25" s="482"/>
      <c r="K25" s="112"/>
      <c r="L25" s="484">
        <f t="shared" si="15"/>
        <v>0</v>
      </c>
      <c r="M25" s="112"/>
      <c r="N25" s="484">
        <f t="shared" si="3"/>
        <v>0</v>
      </c>
      <c r="O25" s="484">
        <f t="shared" si="4"/>
        <v>0</v>
      </c>
      <c r="P25" s="465"/>
    </row>
    <row r="26" spans="2:16">
      <c r="B26" t="str">
        <f t="shared" si="0"/>
        <v/>
      </c>
      <c r="C26" s="479">
        <f>IF(D11="","-",+C25+1)</f>
        <v>2031</v>
      </c>
      <c r="D26" s="481">
        <f>IF(F25+SUM(E$17:E25)=D$10,F25,D$10-SUM(E$17:E25))</f>
        <v>4976077.2426086674</v>
      </c>
      <c r="E26" s="55">
        <f t="shared" si="11"/>
        <v>202051.75696969696</v>
      </c>
      <c r="F26" s="481">
        <f t="shared" si="12"/>
        <v>4774025.4856389705</v>
      </c>
      <c r="G26" s="485">
        <f t="shared" si="13"/>
        <v>761506.67420471855</v>
      </c>
      <c r="H26" s="478">
        <f t="shared" si="14"/>
        <v>761506.67420471855</v>
      </c>
      <c r="I26" s="482">
        <f t="shared" si="1"/>
        <v>0</v>
      </c>
      <c r="J26" s="482"/>
      <c r="K26" s="112"/>
      <c r="L26" s="484">
        <f t="shared" si="15"/>
        <v>0</v>
      </c>
      <c r="M26" s="112"/>
      <c r="N26" s="484">
        <f t="shared" si="3"/>
        <v>0</v>
      </c>
      <c r="O26" s="484">
        <f t="shared" si="4"/>
        <v>0</v>
      </c>
      <c r="P26" s="465"/>
    </row>
    <row r="27" spans="2:16">
      <c r="B27" t="str">
        <f t="shared" si="0"/>
        <v/>
      </c>
      <c r="C27" s="479">
        <f>IF(D11="","-",+C26+1)</f>
        <v>2032</v>
      </c>
      <c r="D27" s="481">
        <f>IF(F26+SUM(E$17:E26)=D$10,F26,D$10-SUM(E$17:E26))</f>
        <v>4774025.4856389705</v>
      </c>
      <c r="E27" s="55">
        <f t="shared" si="11"/>
        <v>202051.75696969696</v>
      </c>
      <c r="F27" s="481">
        <f t="shared" si="12"/>
        <v>4571973.7286692737</v>
      </c>
      <c r="G27" s="485">
        <f t="shared" si="13"/>
        <v>738319.46231100569</v>
      </c>
      <c r="H27" s="478">
        <f t="shared" si="14"/>
        <v>738319.46231100569</v>
      </c>
      <c r="I27" s="482">
        <f t="shared" si="1"/>
        <v>0</v>
      </c>
      <c r="J27" s="482"/>
      <c r="K27" s="112"/>
      <c r="L27" s="484">
        <f t="shared" si="15"/>
        <v>0</v>
      </c>
      <c r="M27" s="112"/>
      <c r="N27" s="484">
        <f t="shared" si="3"/>
        <v>0</v>
      </c>
      <c r="O27" s="484">
        <f t="shared" si="4"/>
        <v>0</v>
      </c>
      <c r="P27" s="465"/>
    </row>
    <row r="28" spans="2:16">
      <c r="B28" t="str">
        <f t="shared" si="0"/>
        <v/>
      </c>
      <c r="C28" s="479">
        <f>IF(D11="","-",+C27+1)</f>
        <v>2033</v>
      </c>
      <c r="D28" s="481">
        <f>IF(F27+SUM(E$17:E27)=D$10,F27,D$10-SUM(E$17:E27))</f>
        <v>4571973.7286692737</v>
      </c>
      <c r="E28" s="55">
        <f t="shared" si="11"/>
        <v>202051.75696969696</v>
      </c>
      <c r="F28" s="481">
        <f t="shared" si="12"/>
        <v>4369921.9716995768</v>
      </c>
      <c r="G28" s="485">
        <f t="shared" si="13"/>
        <v>715132.25041729305</v>
      </c>
      <c r="H28" s="478">
        <f t="shared" si="14"/>
        <v>715132.25041729305</v>
      </c>
      <c r="I28" s="482">
        <f t="shared" si="1"/>
        <v>0</v>
      </c>
      <c r="J28" s="482"/>
      <c r="K28" s="112"/>
      <c r="L28" s="484">
        <f t="shared" si="15"/>
        <v>0</v>
      </c>
      <c r="M28" s="112"/>
      <c r="N28" s="484">
        <f t="shared" si="3"/>
        <v>0</v>
      </c>
      <c r="O28" s="484">
        <f t="shared" si="4"/>
        <v>0</v>
      </c>
      <c r="P28" s="465"/>
    </row>
    <row r="29" spans="2:16">
      <c r="B29" t="str">
        <f t="shared" si="0"/>
        <v/>
      </c>
      <c r="C29" s="479">
        <f>IF(D11="","-",+C28+1)</f>
        <v>2034</v>
      </c>
      <c r="D29" s="481">
        <f>IF(F28+SUM(E$17:E28)=D$10,F28,D$10-SUM(E$17:E28))</f>
        <v>4369921.9716995768</v>
      </c>
      <c r="E29" s="55">
        <f t="shared" si="11"/>
        <v>202051.75696969696</v>
      </c>
      <c r="F29" s="481">
        <f t="shared" si="12"/>
        <v>4167870.21472988</v>
      </c>
      <c r="G29" s="485">
        <f t="shared" si="13"/>
        <v>691945.03852358018</v>
      </c>
      <c r="H29" s="478">
        <f t="shared" si="14"/>
        <v>691945.03852358018</v>
      </c>
      <c r="I29" s="482">
        <f t="shared" si="1"/>
        <v>0</v>
      </c>
      <c r="J29" s="482"/>
      <c r="K29" s="112"/>
      <c r="L29" s="484">
        <f t="shared" si="15"/>
        <v>0</v>
      </c>
      <c r="M29" s="112"/>
      <c r="N29" s="484">
        <f t="shared" si="3"/>
        <v>0</v>
      </c>
      <c r="O29" s="484">
        <f t="shared" si="4"/>
        <v>0</v>
      </c>
      <c r="P29" s="465"/>
    </row>
    <row r="30" spans="2:16">
      <c r="B30" t="str">
        <f t="shared" si="0"/>
        <v/>
      </c>
      <c r="C30" s="479">
        <f>IF(D11="","-",+C29+1)</f>
        <v>2035</v>
      </c>
      <c r="D30" s="481">
        <f>IF(F29+SUM(E$17:E29)=D$10,F29,D$10-SUM(E$17:E29))</f>
        <v>4167870.21472988</v>
      </c>
      <c r="E30" s="55">
        <f t="shared" si="11"/>
        <v>202051.75696969696</v>
      </c>
      <c r="F30" s="481">
        <f t="shared" si="12"/>
        <v>3965818.4577601831</v>
      </c>
      <c r="G30" s="485">
        <f t="shared" si="13"/>
        <v>668757.82662986743</v>
      </c>
      <c r="H30" s="478">
        <f t="shared" si="14"/>
        <v>668757.82662986743</v>
      </c>
      <c r="I30" s="482">
        <f t="shared" si="1"/>
        <v>0</v>
      </c>
      <c r="J30" s="482"/>
      <c r="K30" s="112"/>
      <c r="L30" s="484">
        <f t="shared" si="15"/>
        <v>0</v>
      </c>
      <c r="M30" s="112"/>
      <c r="N30" s="484">
        <f t="shared" si="3"/>
        <v>0</v>
      </c>
      <c r="O30" s="484">
        <f t="shared" si="4"/>
        <v>0</v>
      </c>
      <c r="P30" s="465"/>
    </row>
    <row r="31" spans="2:16">
      <c r="B31" t="str">
        <f t="shared" si="0"/>
        <v/>
      </c>
      <c r="C31" s="479">
        <f>IF(D11="","-",+C30+1)</f>
        <v>2036</v>
      </c>
      <c r="D31" s="481">
        <f>IF(F30+SUM(E$17:E30)=D$10,F30,D$10-SUM(E$17:E30))</f>
        <v>3965818.4577601831</v>
      </c>
      <c r="E31" s="55">
        <f t="shared" si="11"/>
        <v>202051.75696969696</v>
      </c>
      <c r="F31" s="481">
        <f t="shared" si="12"/>
        <v>3763766.7007904863</v>
      </c>
      <c r="G31" s="485">
        <f t="shared" si="13"/>
        <v>645570.61473615468</v>
      </c>
      <c r="H31" s="478">
        <f t="shared" si="14"/>
        <v>645570.61473615468</v>
      </c>
      <c r="I31" s="482">
        <f t="shared" si="1"/>
        <v>0</v>
      </c>
      <c r="J31" s="482"/>
      <c r="K31" s="112"/>
      <c r="L31" s="484">
        <f t="shared" si="15"/>
        <v>0</v>
      </c>
      <c r="M31" s="112"/>
      <c r="N31" s="484">
        <f t="shared" si="3"/>
        <v>0</v>
      </c>
      <c r="O31" s="484">
        <f t="shared" si="4"/>
        <v>0</v>
      </c>
      <c r="P31" s="465"/>
    </row>
    <row r="32" spans="2:16">
      <c r="B32" t="str">
        <f t="shared" si="0"/>
        <v/>
      </c>
      <c r="C32" s="479">
        <f>IF(D11="","-",+C31+1)</f>
        <v>2037</v>
      </c>
      <c r="D32" s="481">
        <f>IF(F31+SUM(E$17:E31)=D$10,F31,D$10-SUM(E$17:E31))</f>
        <v>3763766.7007904863</v>
      </c>
      <c r="E32" s="55">
        <f t="shared" si="11"/>
        <v>202051.75696969696</v>
      </c>
      <c r="F32" s="481">
        <f t="shared" si="12"/>
        <v>3561714.9438207895</v>
      </c>
      <c r="G32" s="485">
        <f t="shared" si="13"/>
        <v>622383.40284244192</v>
      </c>
      <c r="H32" s="478">
        <f t="shared" si="14"/>
        <v>622383.40284244192</v>
      </c>
      <c r="I32" s="482">
        <f t="shared" si="1"/>
        <v>0</v>
      </c>
      <c r="J32" s="482"/>
      <c r="K32" s="112"/>
      <c r="L32" s="484">
        <f t="shared" si="15"/>
        <v>0</v>
      </c>
      <c r="M32" s="112"/>
      <c r="N32" s="484">
        <f t="shared" si="3"/>
        <v>0</v>
      </c>
      <c r="O32" s="484">
        <f t="shared" si="4"/>
        <v>0</v>
      </c>
      <c r="P32" s="465"/>
    </row>
    <row r="33" spans="2:16">
      <c r="B33" t="str">
        <f t="shared" si="0"/>
        <v/>
      </c>
      <c r="C33" s="479">
        <f>IF(D11="","-",+C32+1)</f>
        <v>2038</v>
      </c>
      <c r="D33" s="481">
        <f>IF(F32+SUM(E$17:E32)=D$10,F32,D$10-SUM(E$17:E32))</f>
        <v>3561714.9438207895</v>
      </c>
      <c r="E33" s="55">
        <f t="shared" si="11"/>
        <v>202051.75696969696</v>
      </c>
      <c r="F33" s="481">
        <f t="shared" si="12"/>
        <v>3359663.1868510926</v>
      </c>
      <c r="G33" s="485">
        <f t="shared" si="13"/>
        <v>599196.19094872917</v>
      </c>
      <c r="H33" s="478">
        <f t="shared" si="14"/>
        <v>599196.19094872917</v>
      </c>
      <c r="I33" s="482">
        <f t="shared" si="1"/>
        <v>0</v>
      </c>
      <c r="J33" s="482"/>
      <c r="K33" s="112"/>
      <c r="L33" s="484">
        <f t="shared" si="15"/>
        <v>0</v>
      </c>
      <c r="M33" s="112"/>
      <c r="N33" s="484">
        <f t="shared" si="3"/>
        <v>0</v>
      </c>
      <c r="O33" s="484">
        <f t="shared" si="4"/>
        <v>0</v>
      </c>
      <c r="P33" s="465"/>
    </row>
    <row r="34" spans="2:16">
      <c r="B34" t="str">
        <f t="shared" si="0"/>
        <v/>
      </c>
      <c r="C34" s="479">
        <f>IF(D11="","-",+C33+1)</f>
        <v>2039</v>
      </c>
      <c r="D34" s="481">
        <f>IF(F33+SUM(E$17:E33)=D$10,F33,D$10-SUM(E$17:E33))</f>
        <v>3359663.1868510926</v>
      </c>
      <c r="E34" s="55">
        <f t="shared" si="11"/>
        <v>202051.75696969696</v>
      </c>
      <c r="F34" s="481">
        <f t="shared" si="12"/>
        <v>3157611.4298813958</v>
      </c>
      <c r="G34" s="485">
        <f t="shared" si="13"/>
        <v>576008.97905501642</v>
      </c>
      <c r="H34" s="478">
        <f t="shared" si="14"/>
        <v>576008.97905501642</v>
      </c>
      <c r="I34" s="482">
        <f t="shared" si="1"/>
        <v>0</v>
      </c>
      <c r="J34" s="482"/>
      <c r="K34" s="112"/>
      <c r="L34" s="484">
        <f t="shared" si="15"/>
        <v>0</v>
      </c>
      <c r="M34" s="112"/>
      <c r="N34" s="484">
        <f t="shared" si="3"/>
        <v>0</v>
      </c>
      <c r="O34" s="484">
        <f t="shared" si="4"/>
        <v>0</v>
      </c>
      <c r="P34" s="465"/>
    </row>
    <row r="35" spans="2:16">
      <c r="B35" t="str">
        <f t="shared" si="0"/>
        <v/>
      </c>
      <c r="C35" s="479">
        <f>IF(D11="","-",+C34+1)</f>
        <v>2040</v>
      </c>
      <c r="D35" s="481">
        <f>IF(F34+SUM(E$17:E34)=D$10,F34,D$10-SUM(E$17:E34))</f>
        <v>3157611.4298813958</v>
      </c>
      <c r="E35" s="55">
        <f t="shared" si="11"/>
        <v>202051.75696969696</v>
      </c>
      <c r="F35" s="481">
        <f t="shared" si="12"/>
        <v>2955559.6729116989</v>
      </c>
      <c r="G35" s="485">
        <f t="shared" si="13"/>
        <v>552821.76716130367</v>
      </c>
      <c r="H35" s="478">
        <f t="shared" si="14"/>
        <v>552821.76716130367</v>
      </c>
      <c r="I35" s="482">
        <f t="shared" si="1"/>
        <v>0</v>
      </c>
      <c r="J35" s="482"/>
      <c r="K35" s="112"/>
      <c r="L35" s="484">
        <f t="shared" si="15"/>
        <v>0</v>
      </c>
      <c r="M35" s="112"/>
      <c r="N35" s="484">
        <f t="shared" si="3"/>
        <v>0</v>
      </c>
      <c r="O35" s="484">
        <f t="shared" si="4"/>
        <v>0</v>
      </c>
      <c r="P35" s="465"/>
    </row>
    <row r="36" spans="2:16">
      <c r="B36" t="str">
        <f t="shared" si="0"/>
        <v/>
      </c>
      <c r="C36" s="479">
        <f>IF(D11="","-",+C35+1)</f>
        <v>2041</v>
      </c>
      <c r="D36" s="481">
        <f>IF(F35+SUM(E$17:E35)=D$10,F35,D$10-SUM(E$17:E35))</f>
        <v>2955559.6729116989</v>
      </c>
      <c r="E36" s="55">
        <f t="shared" si="11"/>
        <v>202051.75696969696</v>
      </c>
      <c r="F36" s="481">
        <f t="shared" si="12"/>
        <v>2753507.9159420021</v>
      </c>
      <c r="G36" s="485">
        <f t="shared" si="13"/>
        <v>529634.5552675908</v>
      </c>
      <c r="H36" s="478">
        <f t="shared" si="14"/>
        <v>529634.5552675908</v>
      </c>
      <c r="I36" s="482">
        <f t="shared" si="1"/>
        <v>0</v>
      </c>
      <c r="J36" s="482"/>
      <c r="K36" s="112"/>
      <c r="L36" s="484">
        <f t="shared" si="15"/>
        <v>0</v>
      </c>
      <c r="M36" s="112"/>
      <c r="N36" s="484">
        <f t="shared" si="3"/>
        <v>0</v>
      </c>
      <c r="O36" s="484">
        <f t="shared" si="4"/>
        <v>0</v>
      </c>
      <c r="P36" s="465"/>
    </row>
    <row r="37" spans="2:16">
      <c r="B37" t="str">
        <f t="shared" si="0"/>
        <v/>
      </c>
      <c r="C37" s="479">
        <f>IF(D11="","-",+C36+1)</f>
        <v>2042</v>
      </c>
      <c r="D37" s="481">
        <f>IF(F36+SUM(E$17:E36)=D$10,F36,D$10-SUM(E$17:E36))</f>
        <v>2753507.9159420021</v>
      </c>
      <c r="E37" s="55">
        <f t="shared" si="11"/>
        <v>202051.75696969696</v>
      </c>
      <c r="F37" s="481">
        <f t="shared" si="12"/>
        <v>2551456.1589723052</v>
      </c>
      <c r="G37" s="485">
        <f t="shared" si="13"/>
        <v>506447.3433738781</v>
      </c>
      <c r="H37" s="478">
        <f t="shared" si="14"/>
        <v>506447.3433738781</v>
      </c>
      <c r="I37" s="482">
        <f t="shared" si="1"/>
        <v>0</v>
      </c>
      <c r="J37" s="482"/>
      <c r="K37" s="112"/>
      <c r="L37" s="484">
        <f t="shared" si="15"/>
        <v>0</v>
      </c>
      <c r="M37" s="112"/>
      <c r="N37" s="484">
        <f t="shared" si="3"/>
        <v>0</v>
      </c>
      <c r="O37" s="484">
        <f t="shared" si="4"/>
        <v>0</v>
      </c>
      <c r="P37" s="465"/>
    </row>
    <row r="38" spans="2:16">
      <c r="B38" t="str">
        <f t="shared" si="0"/>
        <v/>
      </c>
      <c r="C38" s="479">
        <f>IF(D11="","-",+C37+1)</f>
        <v>2043</v>
      </c>
      <c r="D38" s="481">
        <f>IF(F37+SUM(E$17:E37)=D$10,F37,D$10-SUM(E$17:E37))</f>
        <v>2551456.1589723052</v>
      </c>
      <c r="E38" s="55">
        <f t="shared" si="11"/>
        <v>202051.75696969696</v>
      </c>
      <c r="F38" s="481">
        <f t="shared" si="12"/>
        <v>2349404.4020026084</v>
      </c>
      <c r="G38" s="485">
        <f t="shared" si="13"/>
        <v>483260.13148016535</v>
      </c>
      <c r="H38" s="478">
        <f t="shared" si="14"/>
        <v>483260.13148016535</v>
      </c>
      <c r="I38" s="482">
        <f t="shared" si="1"/>
        <v>0</v>
      </c>
      <c r="J38" s="482"/>
      <c r="K38" s="112"/>
      <c r="L38" s="484">
        <f t="shared" si="15"/>
        <v>0</v>
      </c>
      <c r="M38" s="112"/>
      <c r="N38" s="484">
        <f t="shared" si="3"/>
        <v>0</v>
      </c>
      <c r="O38" s="484">
        <f t="shared" si="4"/>
        <v>0</v>
      </c>
      <c r="P38" s="465"/>
    </row>
    <row r="39" spans="2:16">
      <c r="B39" t="str">
        <f t="shared" si="0"/>
        <v/>
      </c>
      <c r="C39" s="479">
        <f>IF(D11="","-",+C38+1)</f>
        <v>2044</v>
      </c>
      <c r="D39" s="481">
        <f>IF(F38+SUM(E$17:E38)=D$10,F38,D$10-SUM(E$17:E38))</f>
        <v>2349404.4020026084</v>
      </c>
      <c r="E39" s="55">
        <f t="shared" si="11"/>
        <v>202051.75696969696</v>
      </c>
      <c r="F39" s="481">
        <f t="shared" si="12"/>
        <v>2147352.6450329116</v>
      </c>
      <c r="G39" s="485">
        <f t="shared" si="13"/>
        <v>460072.9195864526</v>
      </c>
      <c r="H39" s="478">
        <f t="shared" si="14"/>
        <v>460072.9195864526</v>
      </c>
      <c r="I39" s="482">
        <f t="shared" si="1"/>
        <v>0</v>
      </c>
      <c r="J39" s="482"/>
      <c r="K39" s="112"/>
      <c r="L39" s="484">
        <f t="shared" si="15"/>
        <v>0</v>
      </c>
      <c r="M39" s="112"/>
      <c r="N39" s="484">
        <f t="shared" si="3"/>
        <v>0</v>
      </c>
      <c r="O39" s="484">
        <f t="shared" si="4"/>
        <v>0</v>
      </c>
      <c r="P39" s="465"/>
    </row>
    <row r="40" spans="2:16">
      <c r="B40" t="str">
        <f t="shared" si="0"/>
        <v/>
      </c>
      <c r="C40" s="479">
        <f>IF(D11="","-",+C39+1)</f>
        <v>2045</v>
      </c>
      <c r="D40" s="481">
        <f>IF(F39+SUM(E$17:E39)=D$10,F39,D$10-SUM(E$17:E39))</f>
        <v>2147352.6450329116</v>
      </c>
      <c r="E40" s="55">
        <f t="shared" si="11"/>
        <v>202051.75696969696</v>
      </c>
      <c r="F40" s="481">
        <f t="shared" si="12"/>
        <v>1945300.8880632147</v>
      </c>
      <c r="G40" s="485">
        <f t="shared" si="13"/>
        <v>436885.70769273984</v>
      </c>
      <c r="H40" s="478">
        <f t="shared" si="14"/>
        <v>436885.70769273984</v>
      </c>
      <c r="I40" s="482">
        <f t="shared" si="1"/>
        <v>0</v>
      </c>
      <c r="J40" s="482"/>
      <c r="K40" s="112"/>
      <c r="L40" s="484">
        <f t="shared" si="15"/>
        <v>0</v>
      </c>
      <c r="M40" s="112"/>
      <c r="N40" s="484">
        <f t="shared" si="3"/>
        <v>0</v>
      </c>
      <c r="O40" s="484">
        <f t="shared" si="4"/>
        <v>0</v>
      </c>
      <c r="P40" s="465"/>
    </row>
    <row r="41" spans="2:16">
      <c r="B41" t="str">
        <f t="shared" si="0"/>
        <v/>
      </c>
      <c r="C41" s="479">
        <f>IF(D11="","-",+C40+1)</f>
        <v>2046</v>
      </c>
      <c r="D41" s="481">
        <f>IF(F40+SUM(E$17:E40)=D$10,F40,D$10-SUM(E$17:E40))</f>
        <v>1945300.8880632147</v>
      </c>
      <c r="E41" s="55">
        <f t="shared" si="11"/>
        <v>202051.75696969696</v>
      </c>
      <c r="F41" s="481">
        <f t="shared" si="12"/>
        <v>1743249.1310935179</v>
      </c>
      <c r="G41" s="485">
        <f t="shared" si="13"/>
        <v>413698.49579902703</v>
      </c>
      <c r="H41" s="478">
        <f t="shared" si="14"/>
        <v>413698.49579902703</v>
      </c>
      <c r="I41" s="482">
        <f t="shared" si="1"/>
        <v>0</v>
      </c>
      <c r="J41" s="482"/>
      <c r="K41" s="112"/>
      <c r="L41" s="484">
        <f t="shared" si="15"/>
        <v>0</v>
      </c>
      <c r="M41" s="112"/>
      <c r="N41" s="484">
        <f t="shared" si="3"/>
        <v>0</v>
      </c>
      <c r="O41" s="484">
        <f t="shared" si="4"/>
        <v>0</v>
      </c>
      <c r="P41" s="465"/>
    </row>
    <row r="42" spans="2:16">
      <c r="B42" t="str">
        <f t="shared" si="0"/>
        <v/>
      </c>
      <c r="C42" s="479">
        <f>IF(D11="","-",+C41+1)</f>
        <v>2047</v>
      </c>
      <c r="D42" s="481">
        <f>IF(F41+SUM(E$17:E41)=D$10,F41,D$10-SUM(E$17:E41))</f>
        <v>1743249.1310935179</v>
      </c>
      <c r="E42" s="55">
        <f t="shared" si="11"/>
        <v>202051.75696969696</v>
      </c>
      <c r="F42" s="481">
        <f t="shared" si="12"/>
        <v>1541197.374123821</v>
      </c>
      <c r="G42" s="485">
        <f t="shared" si="13"/>
        <v>390511.28390531428</v>
      </c>
      <c r="H42" s="478">
        <f t="shared" si="14"/>
        <v>390511.28390531428</v>
      </c>
      <c r="I42" s="482">
        <f t="shared" si="1"/>
        <v>0</v>
      </c>
      <c r="J42" s="482"/>
      <c r="K42" s="112"/>
      <c r="L42" s="484">
        <f t="shared" si="15"/>
        <v>0</v>
      </c>
      <c r="M42" s="112"/>
      <c r="N42" s="484">
        <f t="shared" si="3"/>
        <v>0</v>
      </c>
      <c r="O42" s="484">
        <f t="shared" si="4"/>
        <v>0</v>
      </c>
      <c r="P42" s="465"/>
    </row>
    <row r="43" spans="2:16">
      <c r="B43" t="str">
        <f t="shared" si="0"/>
        <v/>
      </c>
      <c r="C43" s="479">
        <f>IF(D11="","-",+C42+1)</f>
        <v>2048</v>
      </c>
      <c r="D43" s="481">
        <f>IF(F42+SUM(E$17:E42)=D$10,F42,D$10-SUM(E$17:E42))</f>
        <v>1541197.374123821</v>
      </c>
      <c r="E43" s="55">
        <f t="shared" si="11"/>
        <v>202051.75696969696</v>
      </c>
      <c r="F43" s="481">
        <f t="shared" si="12"/>
        <v>1339145.6171541242</v>
      </c>
      <c r="G43" s="485">
        <f t="shared" si="13"/>
        <v>367324.07201160153</v>
      </c>
      <c r="H43" s="478">
        <f t="shared" si="14"/>
        <v>367324.07201160153</v>
      </c>
      <c r="I43" s="482">
        <f t="shared" si="1"/>
        <v>0</v>
      </c>
      <c r="J43" s="482"/>
      <c r="K43" s="112"/>
      <c r="L43" s="484">
        <f t="shared" si="15"/>
        <v>0</v>
      </c>
      <c r="M43" s="112"/>
      <c r="N43" s="484">
        <f t="shared" si="3"/>
        <v>0</v>
      </c>
      <c r="O43" s="484">
        <f t="shared" si="4"/>
        <v>0</v>
      </c>
      <c r="P43" s="465"/>
    </row>
    <row r="44" spans="2:16">
      <c r="B44" t="str">
        <f t="shared" si="0"/>
        <v/>
      </c>
      <c r="C44" s="479">
        <f>IF(D11="","-",+C43+1)</f>
        <v>2049</v>
      </c>
      <c r="D44" s="481">
        <f>IF(F43+SUM(E$17:E43)=D$10,F43,D$10-SUM(E$17:E43))</f>
        <v>1339145.6171541242</v>
      </c>
      <c r="E44" s="55">
        <f t="shared" si="11"/>
        <v>202051.75696969696</v>
      </c>
      <c r="F44" s="481">
        <f t="shared" si="12"/>
        <v>1137093.8601844274</v>
      </c>
      <c r="G44" s="485">
        <f t="shared" si="13"/>
        <v>344136.86011788878</v>
      </c>
      <c r="H44" s="478">
        <f t="shared" si="14"/>
        <v>344136.86011788878</v>
      </c>
      <c r="I44" s="482">
        <f t="shared" si="1"/>
        <v>0</v>
      </c>
      <c r="J44" s="482"/>
      <c r="K44" s="112"/>
      <c r="L44" s="484">
        <f t="shared" si="15"/>
        <v>0</v>
      </c>
      <c r="M44" s="112"/>
      <c r="N44" s="484">
        <f t="shared" si="3"/>
        <v>0</v>
      </c>
      <c r="O44" s="484">
        <f t="shared" si="4"/>
        <v>0</v>
      </c>
      <c r="P44" s="465"/>
    </row>
    <row r="45" spans="2:16">
      <c r="B45" t="str">
        <f t="shared" si="0"/>
        <v/>
      </c>
      <c r="C45" s="479">
        <f>IF(D11="","-",+C44+1)</f>
        <v>2050</v>
      </c>
      <c r="D45" s="481">
        <f>IF(F44+SUM(E$17:E44)=D$10,F44,D$10-SUM(E$17:E44))</f>
        <v>1137093.8601844274</v>
      </c>
      <c r="E45" s="55">
        <f t="shared" si="11"/>
        <v>202051.75696969696</v>
      </c>
      <c r="F45" s="481">
        <f t="shared" si="12"/>
        <v>935042.10321473039</v>
      </c>
      <c r="G45" s="485">
        <f t="shared" si="13"/>
        <v>320949.64822417602</v>
      </c>
      <c r="H45" s="478">
        <f t="shared" si="14"/>
        <v>320949.64822417602</v>
      </c>
      <c r="I45" s="482">
        <f t="shared" si="1"/>
        <v>0</v>
      </c>
      <c r="J45" s="482"/>
      <c r="K45" s="112"/>
      <c r="L45" s="484">
        <f t="shared" si="15"/>
        <v>0</v>
      </c>
      <c r="M45" s="112"/>
      <c r="N45" s="484">
        <f t="shared" si="3"/>
        <v>0</v>
      </c>
      <c r="O45" s="484">
        <f t="shared" si="4"/>
        <v>0</v>
      </c>
      <c r="P45" s="465"/>
    </row>
    <row r="46" spans="2:16">
      <c r="B46" t="str">
        <f t="shared" si="0"/>
        <v/>
      </c>
      <c r="C46" s="479">
        <f>IF(D11="","-",+C45+1)</f>
        <v>2051</v>
      </c>
      <c r="D46" s="481">
        <f>IF(F45+SUM(E$17:E45)=D$10,F45,D$10-SUM(E$17:E45))</f>
        <v>935042.10321473039</v>
      </c>
      <c r="E46" s="55">
        <f t="shared" si="11"/>
        <v>202051.75696969696</v>
      </c>
      <c r="F46" s="481">
        <f t="shared" si="12"/>
        <v>732990.34624503343</v>
      </c>
      <c r="G46" s="485">
        <f t="shared" si="13"/>
        <v>297762.43633046327</v>
      </c>
      <c r="H46" s="478">
        <f t="shared" si="14"/>
        <v>297762.43633046327</v>
      </c>
      <c r="I46" s="482">
        <f t="shared" si="1"/>
        <v>0</v>
      </c>
      <c r="J46" s="482"/>
      <c r="K46" s="112"/>
      <c r="L46" s="484">
        <f t="shared" si="15"/>
        <v>0</v>
      </c>
      <c r="M46" s="112"/>
      <c r="N46" s="484">
        <f t="shared" si="3"/>
        <v>0</v>
      </c>
      <c r="O46" s="484">
        <f t="shared" si="4"/>
        <v>0</v>
      </c>
      <c r="P46" s="465"/>
    </row>
    <row r="47" spans="2:16">
      <c r="B47" t="str">
        <f t="shared" si="0"/>
        <v/>
      </c>
      <c r="C47" s="479">
        <f>IF(D11="","-",+C46+1)</f>
        <v>2052</v>
      </c>
      <c r="D47" s="481">
        <f>IF(F46+SUM(E$17:E46)=D$10,F46,D$10-SUM(E$17:E46))</f>
        <v>732990.34624503343</v>
      </c>
      <c r="E47" s="55">
        <f t="shared" si="11"/>
        <v>202051.75696969696</v>
      </c>
      <c r="F47" s="481">
        <f t="shared" si="12"/>
        <v>530938.58927533648</v>
      </c>
      <c r="G47" s="485">
        <f t="shared" si="13"/>
        <v>274575.22443675052</v>
      </c>
      <c r="H47" s="478">
        <f t="shared" si="14"/>
        <v>274575.22443675052</v>
      </c>
      <c r="I47" s="482">
        <f t="shared" si="1"/>
        <v>0</v>
      </c>
      <c r="J47" s="482"/>
      <c r="K47" s="112"/>
      <c r="L47" s="484">
        <f t="shared" si="15"/>
        <v>0</v>
      </c>
      <c r="M47" s="112"/>
      <c r="N47" s="484">
        <f t="shared" si="3"/>
        <v>0</v>
      </c>
      <c r="O47" s="484">
        <f t="shared" si="4"/>
        <v>0</v>
      </c>
      <c r="P47" s="465"/>
    </row>
    <row r="48" spans="2:16">
      <c r="B48" t="str">
        <f t="shared" si="0"/>
        <v/>
      </c>
      <c r="C48" s="479">
        <f>IF(D11="","-",+C47+1)</f>
        <v>2053</v>
      </c>
      <c r="D48" s="481">
        <f>IF(F47+SUM(E$17:E47)=D$10,F47,D$10-SUM(E$17:E47))</f>
        <v>530938.58927533648</v>
      </c>
      <c r="E48" s="55">
        <f t="shared" si="11"/>
        <v>202051.75696969696</v>
      </c>
      <c r="F48" s="481">
        <f t="shared" si="12"/>
        <v>328886.83230563952</v>
      </c>
      <c r="G48" s="485">
        <f t="shared" si="13"/>
        <v>251388.01254303771</v>
      </c>
      <c r="H48" s="478">
        <f t="shared" si="14"/>
        <v>251388.01254303771</v>
      </c>
      <c r="I48" s="482">
        <f t="shared" si="1"/>
        <v>0</v>
      </c>
      <c r="J48" s="482"/>
      <c r="K48" s="112"/>
      <c r="L48" s="484">
        <f t="shared" si="15"/>
        <v>0</v>
      </c>
      <c r="M48" s="112"/>
      <c r="N48" s="484">
        <f t="shared" si="3"/>
        <v>0</v>
      </c>
      <c r="O48" s="484">
        <f t="shared" si="4"/>
        <v>0</v>
      </c>
      <c r="P48" s="465"/>
    </row>
    <row r="49" spans="2:16">
      <c r="B49" t="str">
        <f t="shared" si="0"/>
        <v/>
      </c>
      <c r="C49" s="479">
        <f>IF(D11="","-",+C48+1)</f>
        <v>2054</v>
      </c>
      <c r="D49" s="481">
        <f>IF(F48+SUM(E$17:E48)=D$10,F48,D$10-SUM(E$17:E48))</f>
        <v>328886.83230563952</v>
      </c>
      <c r="E49" s="55">
        <f t="shared" si="11"/>
        <v>202051.75696969696</v>
      </c>
      <c r="F49" s="481">
        <f t="shared" si="12"/>
        <v>126835.07533594256</v>
      </c>
      <c r="G49" s="485">
        <f t="shared" si="13"/>
        <v>228200.80064932493</v>
      </c>
      <c r="H49" s="478">
        <f t="shared" si="14"/>
        <v>228200.80064932493</v>
      </c>
      <c r="I49" s="482">
        <f t="shared" si="1"/>
        <v>0</v>
      </c>
      <c r="J49" s="482"/>
      <c r="K49" s="112"/>
      <c r="L49" s="484">
        <f t="shared" si="15"/>
        <v>0</v>
      </c>
      <c r="M49" s="112"/>
      <c r="N49" s="484">
        <f t="shared" si="3"/>
        <v>0</v>
      </c>
      <c r="O49" s="484">
        <f t="shared" si="4"/>
        <v>0</v>
      </c>
      <c r="P49" s="465"/>
    </row>
    <row r="50" spans="2:16">
      <c r="B50" t="str">
        <f t="shared" si="0"/>
        <v/>
      </c>
      <c r="C50" s="479">
        <f>IF(D11="","-",+C49+1)</f>
        <v>2055</v>
      </c>
      <c r="D50" s="481">
        <f>IF(F49+SUM(E$17:E49)=D$10,F49,D$10-SUM(E$17:E49))</f>
        <v>126835.07533594256</v>
      </c>
      <c r="E50" s="55">
        <f t="shared" si="11"/>
        <v>126835.07533594256</v>
      </c>
      <c r="F50" s="481">
        <f t="shared" si="12"/>
        <v>0</v>
      </c>
      <c r="G50" s="485">
        <f t="shared" si="13"/>
        <v>134112.79420232837</v>
      </c>
      <c r="H50" s="478">
        <f t="shared" si="14"/>
        <v>134112.79420232837</v>
      </c>
      <c r="I50" s="482">
        <f t="shared" si="1"/>
        <v>0</v>
      </c>
      <c r="J50" s="482"/>
      <c r="K50" s="112"/>
      <c r="L50" s="484">
        <f t="shared" si="15"/>
        <v>0</v>
      </c>
      <c r="M50" s="112"/>
      <c r="N50" s="484">
        <f t="shared" si="3"/>
        <v>0</v>
      </c>
      <c r="O50" s="484">
        <f t="shared" si="4"/>
        <v>0</v>
      </c>
      <c r="P50" s="465"/>
    </row>
    <row r="51" spans="2:16">
      <c r="B51" t="str">
        <f t="shared" si="0"/>
        <v/>
      </c>
      <c r="C51" s="479">
        <f>IF(D11="","-",+C50+1)</f>
        <v>2056</v>
      </c>
      <c r="D51" s="481">
        <f>IF(F50+SUM(E$17:E50)=D$10,F50,D$10-SUM(E$17:E50))</f>
        <v>0</v>
      </c>
      <c r="E51" s="55">
        <f t="shared" si="11"/>
        <v>0</v>
      </c>
      <c r="F51" s="481">
        <f t="shared" si="12"/>
        <v>0</v>
      </c>
      <c r="G51" s="485">
        <f t="shared" si="13"/>
        <v>0</v>
      </c>
      <c r="H51" s="478">
        <f t="shared" si="14"/>
        <v>0</v>
      </c>
      <c r="I51" s="482">
        <f t="shared" si="1"/>
        <v>0</v>
      </c>
      <c r="J51" s="482"/>
      <c r="K51" s="112"/>
      <c r="L51" s="484">
        <f t="shared" si="15"/>
        <v>0</v>
      </c>
      <c r="M51" s="112"/>
      <c r="N51" s="484">
        <f t="shared" si="3"/>
        <v>0</v>
      </c>
      <c r="O51" s="484">
        <f t="shared" si="4"/>
        <v>0</v>
      </c>
      <c r="P51" s="465"/>
    </row>
    <row r="52" spans="2:16">
      <c r="B52" t="str">
        <f t="shared" si="0"/>
        <v/>
      </c>
      <c r="C52" s="479">
        <f>IF(D11="","-",+C51+1)</f>
        <v>2057</v>
      </c>
      <c r="D52" s="481">
        <f>IF(F51+SUM(E$17:E51)=D$10,F51,D$10-SUM(E$17:E51))</f>
        <v>0</v>
      </c>
      <c r="E52" s="55">
        <f t="shared" si="11"/>
        <v>0</v>
      </c>
      <c r="F52" s="481">
        <f t="shared" si="12"/>
        <v>0</v>
      </c>
      <c r="G52" s="485">
        <f t="shared" si="13"/>
        <v>0</v>
      </c>
      <c r="H52" s="478">
        <f t="shared" si="14"/>
        <v>0</v>
      </c>
      <c r="I52" s="482">
        <f t="shared" si="1"/>
        <v>0</v>
      </c>
      <c r="J52" s="482"/>
      <c r="K52" s="112"/>
      <c r="L52" s="484">
        <f t="shared" si="15"/>
        <v>0</v>
      </c>
      <c r="M52" s="112"/>
      <c r="N52" s="484">
        <f t="shared" si="3"/>
        <v>0</v>
      </c>
      <c r="O52" s="484">
        <f t="shared" si="4"/>
        <v>0</v>
      </c>
      <c r="P52" s="465"/>
    </row>
    <row r="53" spans="2:16">
      <c r="B53" t="str">
        <f t="shared" si="0"/>
        <v/>
      </c>
      <c r="C53" s="479">
        <f>IF(D11="","-",+C52+1)</f>
        <v>2058</v>
      </c>
      <c r="D53" s="481">
        <f>IF(F52+SUM(E$17:E52)=D$10,F52,D$10-SUM(E$17:E52))</f>
        <v>0</v>
      </c>
      <c r="E53" s="55">
        <f t="shared" si="11"/>
        <v>0</v>
      </c>
      <c r="F53" s="481">
        <f t="shared" si="12"/>
        <v>0</v>
      </c>
      <c r="G53" s="485">
        <f t="shared" si="13"/>
        <v>0</v>
      </c>
      <c r="H53" s="478">
        <f t="shared" si="14"/>
        <v>0</v>
      </c>
      <c r="I53" s="482">
        <f t="shared" si="1"/>
        <v>0</v>
      </c>
      <c r="J53" s="482"/>
      <c r="K53" s="112"/>
      <c r="L53" s="484">
        <f t="shared" si="15"/>
        <v>0</v>
      </c>
      <c r="M53" s="112"/>
      <c r="N53" s="484">
        <f t="shared" si="3"/>
        <v>0</v>
      </c>
      <c r="O53" s="484">
        <f t="shared" si="4"/>
        <v>0</v>
      </c>
      <c r="P53" s="465"/>
    </row>
    <row r="54" spans="2:16">
      <c r="B54" t="str">
        <f t="shared" si="0"/>
        <v/>
      </c>
      <c r="C54" s="479">
        <f>IF(D11="","-",+C53+1)</f>
        <v>2059</v>
      </c>
      <c r="D54" s="481">
        <f>IF(F53+SUM(E$17:E53)=D$10,F53,D$10-SUM(E$17:E53))</f>
        <v>0</v>
      </c>
      <c r="E54" s="55">
        <f t="shared" si="11"/>
        <v>0</v>
      </c>
      <c r="F54" s="481">
        <f t="shared" si="12"/>
        <v>0</v>
      </c>
      <c r="G54" s="485">
        <f t="shared" si="13"/>
        <v>0</v>
      </c>
      <c r="H54" s="478">
        <f t="shared" si="14"/>
        <v>0</v>
      </c>
      <c r="I54" s="482">
        <f t="shared" si="1"/>
        <v>0</v>
      </c>
      <c r="J54" s="482"/>
      <c r="K54" s="112"/>
      <c r="L54" s="484">
        <f t="shared" si="15"/>
        <v>0</v>
      </c>
      <c r="M54" s="112"/>
      <c r="N54" s="484">
        <f t="shared" si="3"/>
        <v>0</v>
      </c>
      <c r="O54" s="484">
        <f t="shared" si="4"/>
        <v>0</v>
      </c>
      <c r="P54" s="465"/>
    </row>
    <row r="55" spans="2:16">
      <c r="B55" t="str">
        <f t="shared" si="0"/>
        <v/>
      </c>
      <c r="C55" s="479">
        <f>IF(D11="","-",+C54+1)</f>
        <v>2060</v>
      </c>
      <c r="D55" s="481">
        <f>IF(F54+SUM(E$17:E54)=D$10,F54,D$10-SUM(E$17:E54))</f>
        <v>0</v>
      </c>
      <c r="E55" s="55">
        <f t="shared" si="11"/>
        <v>0</v>
      </c>
      <c r="F55" s="481">
        <f t="shared" si="12"/>
        <v>0</v>
      </c>
      <c r="G55" s="485">
        <f t="shared" si="13"/>
        <v>0</v>
      </c>
      <c r="H55" s="478">
        <f t="shared" si="14"/>
        <v>0</v>
      </c>
      <c r="I55" s="482">
        <f t="shared" si="1"/>
        <v>0</v>
      </c>
      <c r="J55" s="482"/>
      <c r="K55" s="112"/>
      <c r="L55" s="484">
        <f t="shared" si="15"/>
        <v>0</v>
      </c>
      <c r="M55" s="112"/>
      <c r="N55" s="484">
        <f t="shared" si="3"/>
        <v>0</v>
      </c>
      <c r="O55" s="484">
        <f t="shared" si="4"/>
        <v>0</v>
      </c>
      <c r="P55" s="465"/>
    </row>
    <row r="56" spans="2:16">
      <c r="B56" t="str">
        <f t="shared" si="0"/>
        <v/>
      </c>
      <c r="C56" s="479">
        <f>IF(D11="","-",+C55+1)</f>
        <v>2061</v>
      </c>
      <c r="D56" s="481">
        <f>IF(F55+SUM(E$17:E55)=D$10,F55,D$10-SUM(E$17:E55))</f>
        <v>0</v>
      </c>
      <c r="E56" s="55">
        <f t="shared" si="11"/>
        <v>0</v>
      </c>
      <c r="F56" s="481">
        <f t="shared" si="12"/>
        <v>0</v>
      </c>
      <c r="G56" s="485">
        <f t="shared" si="13"/>
        <v>0</v>
      </c>
      <c r="H56" s="478">
        <f t="shared" si="14"/>
        <v>0</v>
      </c>
      <c r="I56" s="482">
        <f t="shared" si="1"/>
        <v>0</v>
      </c>
      <c r="J56" s="482"/>
      <c r="K56" s="112"/>
      <c r="L56" s="484">
        <f t="shared" si="15"/>
        <v>0</v>
      </c>
      <c r="M56" s="112"/>
      <c r="N56" s="484">
        <f t="shared" si="3"/>
        <v>0</v>
      </c>
      <c r="O56" s="484">
        <f t="shared" si="4"/>
        <v>0</v>
      </c>
      <c r="P56" s="465"/>
    </row>
    <row r="57" spans="2:16">
      <c r="B57" t="str">
        <f t="shared" si="0"/>
        <v/>
      </c>
      <c r="C57" s="479">
        <f>IF(D11="","-",+C56+1)</f>
        <v>2062</v>
      </c>
      <c r="D57" s="481">
        <f>IF(F56+SUM(E$17:E56)=D$10,F56,D$10-SUM(E$17:E56))</f>
        <v>0</v>
      </c>
      <c r="E57" s="55">
        <f t="shared" si="11"/>
        <v>0</v>
      </c>
      <c r="F57" s="481">
        <f t="shared" si="12"/>
        <v>0</v>
      </c>
      <c r="G57" s="485">
        <f t="shared" si="13"/>
        <v>0</v>
      </c>
      <c r="H57" s="478">
        <f t="shared" si="14"/>
        <v>0</v>
      </c>
      <c r="I57" s="482">
        <f t="shared" si="1"/>
        <v>0</v>
      </c>
      <c r="J57" s="482"/>
      <c r="K57" s="112"/>
      <c r="L57" s="484">
        <f t="shared" si="15"/>
        <v>0</v>
      </c>
      <c r="M57" s="112"/>
      <c r="N57" s="484">
        <f t="shared" si="3"/>
        <v>0</v>
      </c>
      <c r="O57" s="484">
        <f t="shared" si="4"/>
        <v>0</v>
      </c>
      <c r="P57" s="465"/>
    </row>
    <row r="58" spans="2:16">
      <c r="B58" t="str">
        <f t="shared" si="0"/>
        <v/>
      </c>
      <c r="C58" s="479">
        <f>IF(D11="","-",+C57+1)</f>
        <v>2063</v>
      </c>
      <c r="D58" s="481">
        <f>IF(F57+SUM(E$17:E57)=D$10,F57,D$10-SUM(E$17:E57))</f>
        <v>0</v>
      </c>
      <c r="E58" s="55">
        <f t="shared" si="11"/>
        <v>0</v>
      </c>
      <c r="F58" s="481">
        <f t="shared" si="12"/>
        <v>0</v>
      </c>
      <c r="G58" s="485">
        <f t="shared" si="13"/>
        <v>0</v>
      </c>
      <c r="H58" s="478">
        <f t="shared" si="14"/>
        <v>0</v>
      </c>
      <c r="I58" s="482">
        <f t="shared" si="1"/>
        <v>0</v>
      </c>
      <c r="J58" s="482"/>
      <c r="K58" s="112"/>
      <c r="L58" s="484">
        <f t="shared" si="15"/>
        <v>0</v>
      </c>
      <c r="M58" s="112"/>
      <c r="N58" s="484">
        <f t="shared" si="3"/>
        <v>0</v>
      </c>
      <c r="O58" s="484">
        <f t="shared" si="4"/>
        <v>0</v>
      </c>
      <c r="P58" s="465"/>
    </row>
    <row r="59" spans="2:16">
      <c r="B59" t="str">
        <f t="shared" si="0"/>
        <v/>
      </c>
      <c r="C59" s="479">
        <f>IF(D11="","-",+C58+1)</f>
        <v>2064</v>
      </c>
      <c r="D59" s="481">
        <f>IF(F58+SUM(E$17:E58)=D$10,F58,D$10-SUM(E$17:E58))</f>
        <v>0</v>
      </c>
      <c r="E59" s="55">
        <f t="shared" si="11"/>
        <v>0</v>
      </c>
      <c r="F59" s="481">
        <f t="shared" si="12"/>
        <v>0</v>
      </c>
      <c r="G59" s="485">
        <f t="shared" si="13"/>
        <v>0</v>
      </c>
      <c r="H59" s="478">
        <f t="shared" si="14"/>
        <v>0</v>
      </c>
      <c r="I59" s="482">
        <f t="shared" si="1"/>
        <v>0</v>
      </c>
      <c r="J59" s="482"/>
      <c r="K59" s="112"/>
      <c r="L59" s="484">
        <f t="shared" si="15"/>
        <v>0</v>
      </c>
      <c r="M59" s="112"/>
      <c r="N59" s="484">
        <f t="shared" si="3"/>
        <v>0</v>
      </c>
      <c r="O59" s="484">
        <f t="shared" si="4"/>
        <v>0</v>
      </c>
      <c r="P59" s="465"/>
    </row>
    <row r="60" spans="2:16">
      <c r="B60" t="str">
        <f t="shared" si="0"/>
        <v/>
      </c>
      <c r="C60" s="479">
        <f>IF(D11="","-",+C59+1)</f>
        <v>2065</v>
      </c>
      <c r="D60" s="481">
        <f>IF(F59+SUM(E$17:E59)=D$10,F59,D$10-SUM(E$17:E59))</f>
        <v>0</v>
      </c>
      <c r="E60" s="55">
        <f t="shared" si="11"/>
        <v>0</v>
      </c>
      <c r="F60" s="481">
        <f t="shared" si="12"/>
        <v>0</v>
      </c>
      <c r="G60" s="485">
        <f t="shared" si="13"/>
        <v>0</v>
      </c>
      <c r="H60" s="478">
        <f t="shared" si="14"/>
        <v>0</v>
      </c>
      <c r="I60" s="482">
        <f t="shared" si="1"/>
        <v>0</v>
      </c>
      <c r="J60" s="482"/>
      <c r="K60" s="112"/>
      <c r="L60" s="484">
        <f t="shared" si="15"/>
        <v>0</v>
      </c>
      <c r="M60" s="112"/>
      <c r="N60" s="484">
        <f t="shared" si="3"/>
        <v>0</v>
      </c>
      <c r="O60" s="484">
        <f t="shared" si="4"/>
        <v>0</v>
      </c>
      <c r="P60" s="465"/>
    </row>
    <row r="61" spans="2:16">
      <c r="B61" t="str">
        <f t="shared" si="0"/>
        <v/>
      </c>
      <c r="C61" s="479">
        <f>IF(D11="","-",+C60+1)</f>
        <v>2066</v>
      </c>
      <c r="D61" s="481">
        <f>IF(F60+SUM(E$17:E60)=D$10,F60,D$10-SUM(E$17:E60))</f>
        <v>0</v>
      </c>
      <c r="E61" s="55">
        <f t="shared" si="11"/>
        <v>0</v>
      </c>
      <c r="F61" s="481">
        <f t="shared" si="12"/>
        <v>0</v>
      </c>
      <c r="G61" s="486">
        <f t="shared" si="13"/>
        <v>0</v>
      </c>
      <c r="H61" s="478">
        <f t="shared" si="14"/>
        <v>0</v>
      </c>
      <c r="I61" s="482">
        <f t="shared" si="1"/>
        <v>0</v>
      </c>
      <c r="J61" s="482"/>
      <c r="K61" s="112"/>
      <c r="L61" s="484">
        <f t="shared" si="15"/>
        <v>0</v>
      </c>
      <c r="M61" s="112"/>
      <c r="N61" s="484">
        <f t="shared" si="3"/>
        <v>0</v>
      </c>
      <c r="O61" s="484">
        <f t="shared" si="4"/>
        <v>0</v>
      </c>
      <c r="P61" s="465"/>
    </row>
    <row r="62" spans="2:16">
      <c r="B62" t="str">
        <f t="shared" si="0"/>
        <v/>
      </c>
      <c r="C62" s="479">
        <f>IF(D11="","-",+C61+1)</f>
        <v>2067</v>
      </c>
      <c r="D62" s="481">
        <f>IF(F61+SUM(E$17:E61)=D$10,F61,D$10-SUM(E$17:E61))</f>
        <v>0</v>
      </c>
      <c r="E62" s="55">
        <f t="shared" si="11"/>
        <v>0</v>
      </c>
      <c r="F62" s="481">
        <f t="shared" si="12"/>
        <v>0</v>
      </c>
      <c r="G62" s="486">
        <f t="shared" si="13"/>
        <v>0</v>
      </c>
      <c r="H62" s="478">
        <f t="shared" si="14"/>
        <v>0</v>
      </c>
      <c r="I62" s="482">
        <f t="shared" si="1"/>
        <v>0</v>
      </c>
      <c r="J62" s="482"/>
      <c r="K62" s="112"/>
      <c r="L62" s="484">
        <f t="shared" si="15"/>
        <v>0</v>
      </c>
      <c r="M62" s="112"/>
      <c r="N62" s="484">
        <f t="shared" si="3"/>
        <v>0</v>
      </c>
      <c r="O62" s="484">
        <f t="shared" si="4"/>
        <v>0</v>
      </c>
      <c r="P62" s="465"/>
    </row>
    <row r="63" spans="2:16">
      <c r="B63" t="str">
        <f t="shared" si="0"/>
        <v/>
      </c>
      <c r="C63" s="479">
        <f>IF(D11="","-",+C62+1)</f>
        <v>2068</v>
      </c>
      <c r="D63" s="481">
        <f>IF(F62+SUM(E$17:E62)=D$10,F62,D$10-SUM(E$17:E62))</f>
        <v>0</v>
      </c>
      <c r="E63" s="55">
        <f t="shared" si="11"/>
        <v>0</v>
      </c>
      <c r="F63" s="481">
        <f t="shared" si="12"/>
        <v>0</v>
      </c>
      <c r="G63" s="486">
        <f t="shared" si="13"/>
        <v>0</v>
      </c>
      <c r="H63" s="478">
        <f t="shared" si="14"/>
        <v>0</v>
      </c>
      <c r="I63" s="482">
        <f t="shared" si="1"/>
        <v>0</v>
      </c>
      <c r="J63" s="482"/>
      <c r="K63" s="112"/>
      <c r="L63" s="484">
        <f t="shared" si="15"/>
        <v>0</v>
      </c>
      <c r="M63" s="112"/>
      <c r="N63" s="484">
        <f t="shared" si="3"/>
        <v>0</v>
      </c>
      <c r="O63" s="484">
        <f t="shared" si="4"/>
        <v>0</v>
      </c>
      <c r="P63" s="465"/>
    </row>
    <row r="64" spans="2:16">
      <c r="B64" t="str">
        <f t="shared" si="0"/>
        <v/>
      </c>
      <c r="C64" s="479">
        <f>IF(D11="","-",+C63+1)</f>
        <v>2069</v>
      </c>
      <c r="D64" s="481">
        <f>IF(F63+SUM(E$17:E63)=D$10,F63,D$10-SUM(E$17:E63))</f>
        <v>0</v>
      </c>
      <c r="E64" s="55">
        <f t="shared" si="11"/>
        <v>0</v>
      </c>
      <c r="F64" s="481">
        <f t="shared" si="12"/>
        <v>0</v>
      </c>
      <c r="G64" s="486">
        <f t="shared" si="13"/>
        <v>0</v>
      </c>
      <c r="H64" s="478">
        <f t="shared" si="14"/>
        <v>0</v>
      </c>
      <c r="I64" s="482">
        <f t="shared" si="1"/>
        <v>0</v>
      </c>
      <c r="J64" s="482"/>
      <c r="K64" s="112"/>
      <c r="L64" s="484">
        <f t="shared" si="15"/>
        <v>0</v>
      </c>
      <c r="M64" s="112"/>
      <c r="N64" s="484">
        <f t="shared" si="3"/>
        <v>0</v>
      </c>
      <c r="O64" s="484">
        <f t="shared" si="4"/>
        <v>0</v>
      </c>
      <c r="P64" s="465"/>
    </row>
    <row r="65" spans="2:16">
      <c r="B65" t="str">
        <f t="shared" si="0"/>
        <v/>
      </c>
      <c r="C65" s="479">
        <f>IF(D11="","-",+C64+1)</f>
        <v>2070</v>
      </c>
      <c r="D65" s="481">
        <f>IF(F64+SUM(E$17:E64)=D$10,F64,D$10-SUM(E$17:E64))</f>
        <v>0</v>
      </c>
      <c r="E65" s="55">
        <f t="shared" si="11"/>
        <v>0</v>
      </c>
      <c r="F65" s="481">
        <f t="shared" si="12"/>
        <v>0</v>
      </c>
      <c r="G65" s="486">
        <f t="shared" si="13"/>
        <v>0</v>
      </c>
      <c r="H65" s="478">
        <f t="shared" si="14"/>
        <v>0</v>
      </c>
      <c r="I65" s="482">
        <f t="shared" si="1"/>
        <v>0</v>
      </c>
      <c r="J65" s="482"/>
      <c r="K65" s="112"/>
      <c r="L65" s="484">
        <f t="shared" si="15"/>
        <v>0</v>
      </c>
      <c r="M65" s="112"/>
      <c r="N65" s="484">
        <f t="shared" si="3"/>
        <v>0</v>
      </c>
      <c r="O65" s="484">
        <f t="shared" si="4"/>
        <v>0</v>
      </c>
      <c r="P65" s="465"/>
    </row>
    <row r="66" spans="2:16">
      <c r="B66" t="str">
        <f t="shared" si="0"/>
        <v/>
      </c>
      <c r="C66" s="479">
        <f>IF(D11="","-",+C65+1)</f>
        <v>2071</v>
      </c>
      <c r="D66" s="481">
        <f>IF(F65+SUM(E$17:E65)=D$10,F65,D$10-SUM(E$17:E65))</f>
        <v>0</v>
      </c>
      <c r="E66" s="55">
        <f t="shared" si="11"/>
        <v>0</v>
      </c>
      <c r="F66" s="481">
        <f t="shared" si="12"/>
        <v>0</v>
      </c>
      <c r="G66" s="486">
        <f t="shared" si="13"/>
        <v>0</v>
      </c>
      <c r="H66" s="478">
        <f t="shared" si="14"/>
        <v>0</v>
      </c>
      <c r="I66" s="482">
        <f t="shared" si="1"/>
        <v>0</v>
      </c>
      <c r="J66" s="482"/>
      <c r="K66" s="112"/>
      <c r="L66" s="484">
        <f t="shared" si="15"/>
        <v>0</v>
      </c>
      <c r="M66" s="112"/>
      <c r="N66" s="484">
        <f t="shared" si="3"/>
        <v>0</v>
      </c>
      <c r="O66" s="484">
        <f t="shared" si="4"/>
        <v>0</v>
      </c>
      <c r="P66" s="465"/>
    </row>
    <row r="67" spans="2:16">
      <c r="B67" t="str">
        <f t="shared" si="0"/>
        <v/>
      </c>
      <c r="C67" s="479">
        <f>IF(D11="","-",+C66+1)</f>
        <v>2072</v>
      </c>
      <c r="D67" s="481">
        <f>IF(F66+SUM(E$17:E66)=D$10,F66,D$10-SUM(E$17:E66))</f>
        <v>0</v>
      </c>
      <c r="E67" s="55">
        <f t="shared" si="11"/>
        <v>0</v>
      </c>
      <c r="F67" s="481">
        <f t="shared" si="12"/>
        <v>0</v>
      </c>
      <c r="G67" s="486">
        <f t="shared" si="13"/>
        <v>0</v>
      </c>
      <c r="H67" s="478">
        <f t="shared" si="14"/>
        <v>0</v>
      </c>
      <c r="I67" s="482">
        <f t="shared" si="1"/>
        <v>0</v>
      </c>
      <c r="J67" s="482"/>
      <c r="K67" s="112"/>
      <c r="L67" s="484">
        <f t="shared" si="15"/>
        <v>0</v>
      </c>
      <c r="M67" s="112"/>
      <c r="N67" s="484">
        <f t="shared" si="3"/>
        <v>0</v>
      </c>
      <c r="O67" s="484">
        <f t="shared" si="4"/>
        <v>0</v>
      </c>
      <c r="P67" s="465"/>
    </row>
    <row r="68" spans="2:16">
      <c r="B68" t="str">
        <f t="shared" si="0"/>
        <v/>
      </c>
      <c r="C68" s="479">
        <f>IF(D11="","-",+C67+1)</f>
        <v>2073</v>
      </c>
      <c r="D68" s="481">
        <f>IF(F67+SUM(E$17:E67)=D$10,F67,D$10-SUM(E$17:E67))</f>
        <v>0</v>
      </c>
      <c r="E68" s="55">
        <f t="shared" si="11"/>
        <v>0</v>
      </c>
      <c r="F68" s="481">
        <f t="shared" si="12"/>
        <v>0</v>
      </c>
      <c r="G68" s="486">
        <f t="shared" si="13"/>
        <v>0</v>
      </c>
      <c r="H68" s="478">
        <f t="shared" si="14"/>
        <v>0</v>
      </c>
      <c r="I68" s="482">
        <f t="shared" si="1"/>
        <v>0</v>
      </c>
      <c r="J68" s="482"/>
      <c r="K68" s="112"/>
      <c r="L68" s="484">
        <f t="shared" si="15"/>
        <v>0</v>
      </c>
      <c r="M68" s="112"/>
      <c r="N68" s="484">
        <f t="shared" si="3"/>
        <v>0</v>
      </c>
      <c r="O68" s="484">
        <f t="shared" si="4"/>
        <v>0</v>
      </c>
      <c r="P68" s="465"/>
    </row>
    <row r="69" spans="2:16">
      <c r="B69" t="str">
        <f t="shared" si="0"/>
        <v/>
      </c>
      <c r="C69" s="479">
        <f>IF(D11="","-",+C68+1)</f>
        <v>2074</v>
      </c>
      <c r="D69" s="481">
        <f>IF(F68+SUM(E$17:E68)=D$10,F68,D$10-SUM(E$17:E68))</f>
        <v>0</v>
      </c>
      <c r="E69" s="55">
        <f t="shared" si="11"/>
        <v>0</v>
      </c>
      <c r="F69" s="481">
        <f t="shared" si="12"/>
        <v>0</v>
      </c>
      <c r="G69" s="486">
        <f t="shared" si="13"/>
        <v>0</v>
      </c>
      <c r="H69" s="478">
        <f t="shared" si="14"/>
        <v>0</v>
      </c>
      <c r="I69" s="482">
        <f t="shared" si="1"/>
        <v>0</v>
      </c>
      <c r="J69" s="482"/>
      <c r="K69" s="112"/>
      <c r="L69" s="484">
        <f t="shared" si="15"/>
        <v>0</v>
      </c>
      <c r="M69" s="112"/>
      <c r="N69" s="484">
        <f t="shared" si="3"/>
        <v>0</v>
      </c>
      <c r="O69" s="484">
        <f t="shared" si="4"/>
        <v>0</v>
      </c>
      <c r="P69" s="465"/>
    </row>
    <row r="70" spans="2:16">
      <c r="B70" t="str">
        <f t="shared" si="0"/>
        <v/>
      </c>
      <c r="C70" s="479">
        <f>IF(D11="","-",+C69+1)</f>
        <v>2075</v>
      </c>
      <c r="D70" s="481">
        <f>IF(F69+SUM(E$17:E69)=D$10,F69,D$10-SUM(E$17:E69))</f>
        <v>0</v>
      </c>
      <c r="E70" s="55">
        <f t="shared" si="11"/>
        <v>0</v>
      </c>
      <c r="F70" s="481">
        <f t="shared" si="12"/>
        <v>0</v>
      </c>
      <c r="G70" s="486">
        <f t="shared" si="13"/>
        <v>0</v>
      </c>
      <c r="H70" s="478">
        <f t="shared" si="14"/>
        <v>0</v>
      </c>
      <c r="I70" s="482">
        <f t="shared" si="1"/>
        <v>0</v>
      </c>
      <c r="J70" s="482"/>
      <c r="K70" s="112"/>
      <c r="L70" s="484">
        <f t="shared" si="15"/>
        <v>0</v>
      </c>
      <c r="M70" s="112"/>
      <c r="N70" s="484">
        <f t="shared" si="3"/>
        <v>0</v>
      </c>
      <c r="O70" s="484">
        <f t="shared" si="4"/>
        <v>0</v>
      </c>
      <c r="P70" s="465"/>
    </row>
    <row r="71" spans="2:16">
      <c r="B71" t="str">
        <f t="shared" si="0"/>
        <v/>
      </c>
      <c r="C71" s="479">
        <f>IF(D11="","-",+C70+1)</f>
        <v>2076</v>
      </c>
      <c r="D71" s="481">
        <f>IF(F70+SUM(E$17:E70)=D$10,F70,D$10-SUM(E$17:E70))</f>
        <v>0</v>
      </c>
      <c r="E71" s="55">
        <f t="shared" si="11"/>
        <v>0</v>
      </c>
      <c r="F71" s="481">
        <f t="shared" si="12"/>
        <v>0</v>
      </c>
      <c r="G71" s="486">
        <f t="shared" si="13"/>
        <v>0</v>
      </c>
      <c r="H71" s="478">
        <f t="shared" si="14"/>
        <v>0</v>
      </c>
      <c r="I71" s="482">
        <f t="shared" si="1"/>
        <v>0</v>
      </c>
      <c r="J71" s="482"/>
      <c r="K71" s="112"/>
      <c r="L71" s="484">
        <f t="shared" si="15"/>
        <v>0</v>
      </c>
      <c r="M71" s="112"/>
      <c r="N71" s="484">
        <f t="shared" si="3"/>
        <v>0</v>
      </c>
      <c r="O71" s="484">
        <f t="shared" si="4"/>
        <v>0</v>
      </c>
      <c r="P71" s="465"/>
    </row>
    <row r="72" spans="2:16">
      <c r="C72" s="479">
        <f>IF(D12="","-",+C71+1)</f>
        <v>2077</v>
      </c>
      <c r="D72" s="481">
        <f>IF(F71+SUM(E$17:E71)=D$10,F71,D$10-SUM(E$17:E71))</f>
        <v>0</v>
      </c>
      <c r="E72" s="55">
        <f>IF(+I$14&lt;F71,I$14,D72)</f>
        <v>0</v>
      </c>
      <c r="F72" s="481">
        <f>+D72-E72</f>
        <v>0</v>
      </c>
      <c r="G72" s="486">
        <f>(D72+F72)/2*I$12+E72</f>
        <v>0</v>
      </c>
      <c r="H72" s="478">
        <f>+(D72+F72)/2*I$13+E72</f>
        <v>0</v>
      </c>
      <c r="I72" s="482">
        <f>H72-G72</f>
        <v>0</v>
      </c>
      <c r="J72" s="482"/>
      <c r="K72" s="112"/>
      <c r="L72" s="484">
        <f>IF(K72&lt;&gt;0,+G72-K72,0)</f>
        <v>0</v>
      </c>
      <c r="M72" s="112"/>
      <c r="N72" s="484">
        <f>IF(M72&lt;&gt;0,+H72-M72,0)</f>
        <v>0</v>
      </c>
      <c r="O72" s="484">
        <f>+N72-L72</f>
        <v>0</v>
      </c>
      <c r="P72" s="465"/>
    </row>
    <row r="73" spans="2:16" ht="13.5" thickBot="1">
      <c r="B73" t="str">
        <f>IF(D73=F71,"","IU")</f>
        <v/>
      </c>
      <c r="C73" s="487">
        <f>IF(D13="","-",+C72+1)</f>
        <v>2078</v>
      </c>
      <c r="D73" s="60">
        <f>IF(F72+SUM(E$17:E72)=D$10,F72,D$10-SUM(E$17:E72))</f>
        <v>0</v>
      </c>
      <c r="E73" s="60">
        <f>IF(+I$14&lt;F72,I$14,D73)</f>
        <v>0</v>
      </c>
      <c r="F73" s="488">
        <f>+D73-E73</f>
        <v>0</v>
      </c>
      <c r="G73" s="489">
        <f>(D73+F73)/2*I$12+E73</f>
        <v>0</v>
      </c>
      <c r="H73" s="471">
        <f>+(D73+F73)/2*I$13+E73</f>
        <v>0</v>
      </c>
      <c r="I73" s="490">
        <f>H73-G73</f>
        <v>0</v>
      </c>
      <c r="J73" s="482"/>
      <c r="K73" s="113"/>
      <c r="L73" s="491">
        <f>IF(K73&lt;&gt;0,+G73-K73,0)</f>
        <v>0</v>
      </c>
      <c r="M73" s="113"/>
      <c r="N73" s="491">
        <f>IF(M73&lt;&gt;0,+H73-M73,0)</f>
        <v>0</v>
      </c>
      <c r="O73" s="491">
        <f>+N73-L73</f>
        <v>0</v>
      </c>
      <c r="P73" s="465"/>
    </row>
    <row r="74" spans="2:16">
      <c r="C74" s="480" t="s">
        <v>75</v>
      </c>
      <c r="D74" s="468"/>
      <c r="E74" s="468">
        <f>SUM(E17:E73)</f>
        <v>6667707.9799999986</v>
      </c>
      <c r="F74" s="468"/>
      <c r="G74" s="468">
        <f>SUM(G17:G73)</f>
        <v>19342672.008784026</v>
      </c>
      <c r="H74" s="468">
        <f>SUM(H17:H73)</f>
        <v>19342672.008784026</v>
      </c>
      <c r="I74" s="468">
        <f>SUM(I17:I73)</f>
        <v>0</v>
      </c>
      <c r="J74" s="468"/>
      <c r="K74" s="468"/>
      <c r="L74" s="468"/>
      <c r="M74" s="468"/>
      <c r="N74" s="468"/>
      <c r="O74" s="465"/>
      <c r="P74" s="465"/>
    </row>
    <row r="75" spans="2:16">
      <c r="D75" s="466"/>
      <c r="E75" s="465"/>
      <c r="F75" s="465"/>
      <c r="G75" s="465"/>
      <c r="H75" s="467"/>
      <c r="I75" s="467"/>
      <c r="J75" s="468"/>
      <c r="K75" s="467"/>
      <c r="L75" s="467"/>
      <c r="M75" s="467"/>
      <c r="N75" s="467"/>
      <c r="O75" s="465"/>
      <c r="P75" s="465"/>
    </row>
    <row r="76" spans="2:16">
      <c r="C76" s="29" t="s">
        <v>95</v>
      </c>
      <c r="D76" s="466"/>
      <c r="E76" s="465"/>
      <c r="F76" s="465"/>
      <c r="G76" s="465"/>
      <c r="H76" s="467"/>
      <c r="I76" s="467"/>
      <c r="J76" s="468"/>
      <c r="K76" s="467"/>
      <c r="L76" s="467"/>
      <c r="M76" s="467"/>
      <c r="N76" s="467"/>
      <c r="O76" s="465"/>
      <c r="P76" s="465"/>
    </row>
    <row r="77" spans="2:16">
      <c r="C77" s="25" t="s">
        <v>76</v>
      </c>
      <c r="D77" s="466"/>
      <c r="E77" s="465"/>
      <c r="F77" s="465"/>
      <c r="G77" s="465"/>
      <c r="H77" s="467"/>
      <c r="I77" s="467"/>
      <c r="J77" s="468"/>
      <c r="K77" s="467"/>
      <c r="L77" s="467"/>
      <c r="M77" s="467"/>
      <c r="N77" s="467"/>
      <c r="O77" s="465"/>
      <c r="P77" s="465"/>
    </row>
    <row r="78" spans="2:16">
      <c r="C78" s="25" t="s">
        <v>77</v>
      </c>
      <c r="D78" s="480"/>
      <c r="E78" s="480"/>
      <c r="F78" s="480"/>
      <c r="G78" s="468"/>
      <c r="H78" s="468"/>
      <c r="I78" s="492"/>
      <c r="J78" s="492"/>
      <c r="K78" s="492"/>
      <c r="L78" s="492"/>
      <c r="M78" s="492"/>
      <c r="N78" s="492"/>
      <c r="O78" s="465"/>
      <c r="P78" s="465"/>
    </row>
    <row r="79" spans="2:16">
      <c r="C79" s="25"/>
      <c r="D79" s="480"/>
      <c r="E79" s="480"/>
      <c r="F79" s="480"/>
      <c r="G79" s="468"/>
      <c r="H79" s="468"/>
      <c r="I79" s="492"/>
      <c r="J79" s="492"/>
      <c r="K79" s="492"/>
      <c r="L79" s="492"/>
      <c r="M79" s="492"/>
      <c r="N79" s="492"/>
      <c r="O79" s="465"/>
      <c r="P79" s="465"/>
    </row>
    <row r="80" spans="2:16">
      <c r="B80" s="465"/>
      <c r="C80" s="465"/>
      <c r="D80" s="466"/>
      <c r="E80" s="465"/>
      <c r="F80" s="480"/>
      <c r="G80" s="465"/>
      <c r="H80" s="467"/>
      <c r="I80" s="465"/>
      <c r="J80" s="465"/>
      <c r="K80" s="465"/>
      <c r="L80" s="465"/>
      <c r="M80" s="465"/>
      <c r="N80" s="465"/>
      <c r="O80" s="465"/>
      <c r="P80" s="465"/>
    </row>
    <row r="81" spans="1:16" ht="18">
      <c r="B81" s="465"/>
      <c r="C81" s="493"/>
      <c r="D81" s="466"/>
      <c r="E81" s="465"/>
      <c r="F81" s="480"/>
      <c r="G81" s="465"/>
      <c r="H81" s="467"/>
      <c r="I81" s="465"/>
      <c r="J81" s="465"/>
      <c r="K81" s="465"/>
      <c r="L81" s="465"/>
      <c r="M81" s="465"/>
      <c r="N81" s="465"/>
      <c r="P81" s="94" t="s">
        <v>128</v>
      </c>
    </row>
    <row r="82" spans="1:16">
      <c r="B82" s="465"/>
      <c r="C82" s="465"/>
      <c r="D82" s="466"/>
      <c r="E82" s="465"/>
      <c r="F82" s="480"/>
      <c r="G82" s="465"/>
      <c r="H82" s="467"/>
      <c r="I82" s="465"/>
      <c r="J82" s="465"/>
      <c r="K82" s="465"/>
      <c r="L82" s="465"/>
      <c r="M82" s="465"/>
      <c r="N82" s="465"/>
      <c r="O82" s="465"/>
      <c r="P82" s="465"/>
    </row>
    <row r="83" spans="1:16">
      <c r="B83" s="465"/>
      <c r="C83" s="465"/>
      <c r="D83" s="466"/>
      <c r="E83" s="465"/>
      <c r="F83" s="480"/>
      <c r="G83" s="465"/>
      <c r="H83" s="467"/>
      <c r="I83" s="465"/>
      <c r="J83" s="465"/>
      <c r="K83" s="465"/>
      <c r="L83" s="465"/>
      <c r="M83" s="465"/>
      <c r="N83" s="465"/>
      <c r="O83" s="465"/>
      <c r="P83" s="465"/>
    </row>
    <row r="84" spans="1:16" ht="20.25">
      <c r="A84" s="93" t="s">
        <v>190</v>
      </c>
      <c r="B84" s="465"/>
      <c r="C84" s="465"/>
      <c r="D84" s="466"/>
      <c r="E84" s="465"/>
      <c r="F84" s="280"/>
      <c r="G84" s="280"/>
      <c r="H84" s="465"/>
      <c r="I84" s="467"/>
      <c r="L84" s="12"/>
      <c r="M84" s="12"/>
      <c r="P84" s="12" t="str">
        <f ca="1">P1</f>
        <v>OKT Project 22 of 26</v>
      </c>
    </row>
    <row r="85" spans="1:16" ht="18">
      <c r="B85" s="465"/>
      <c r="C85" s="465"/>
      <c r="D85" s="466"/>
      <c r="E85" s="465"/>
      <c r="F85" s="465"/>
      <c r="G85" s="465"/>
      <c r="H85" s="465"/>
      <c r="I85" s="467"/>
      <c r="J85" s="465"/>
      <c r="K85" s="465"/>
      <c r="L85" s="465"/>
      <c r="M85" s="465"/>
      <c r="P85" s="99" t="s">
        <v>132</v>
      </c>
    </row>
    <row r="86" spans="1:16" ht="18.75" thickBot="1">
      <c r="B86" s="4" t="s">
        <v>42</v>
      </c>
      <c r="C86" s="66" t="s">
        <v>81</v>
      </c>
      <c r="D86" s="466"/>
      <c r="E86" s="465"/>
      <c r="F86" s="465"/>
      <c r="G86" s="465"/>
      <c r="H86" s="465"/>
      <c r="I86" s="467"/>
      <c r="J86" s="467"/>
      <c r="K86" s="468"/>
      <c r="L86" s="467"/>
      <c r="M86" s="467"/>
      <c r="N86" s="467"/>
      <c r="O86" s="468"/>
      <c r="P86" s="465"/>
    </row>
    <row r="87" spans="1:16" ht="15.75" thickBot="1">
      <c r="C87" s="8"/>
      <c r="D87" s="466"/>
      <c r="E87" s="465"/>
      <c r="F87" s="465"/>
      <c r="G87" s="465"/>
      <c r="H87" s="465"/>
      <c r="I87" s="467"/>
      <c r="J87" s="467"/>
      <c r="K87" s="468"/>
      <c r="L87" s="100">
        <f>+J93</f>
        <v>2025</v>
      </c>
      <c r="M87" s="494" t="s">
        <v>9</v>
      </c>
      <c r="N87" s="495" t="s">
        <v>134</v>
      </c>
      <c r="O87" s="496" t="s">
        <v>11</v>
      </c>
      <c r="P87" s="465"/>
    </row>
    <row r="88" spans="1:16" ht="15">
      <c r="C88" s="90" t="s">
        <v>44</v>
      </c>
      <c r="D88" s="466"/>
      <c r="E88" s="465"/>
      <c r="F88" s="465"/>
      <c r="G88" s="465"/>
      <c r="H88" s="15"/>
      <c r="I88" s="465" t="s">
        <v>45</v>
      </c>
      <c r="J88" s="465"/>
      <c r="K88" s="104"/>
      <c r="L88" s="497" t="s">
        <v>253</v>
      </c>
      <c r="M88" s="67">
        <f>IF(J93&lt;D11,0,VLOOKUP(J93,C17:O73,9))</f>
        <v>920111.30131384754</v>
      </c>
      <c r="N88" s="67">
        <f>IF(J93&lt;D11,0,VLOOKUP(J93,C17:O73,11))</f>
        <v>920111.30131384754</v>
      </c>
      <c r="O88" s="498">
        <f>+N88-M88</f>
        <v>0</v>
      </c>
      <c r="P88" s="465"/>
    </row>
    <row r="89" spans="1:16" ht="15.75">
      <c r="C89" s="6"/>
      <c r="D89" s="466"/>
      <c r="E89" s="465"/>
      <c r="F89" s="465"/>
      <c r="G89" s="465"/>
      <c r="H89" s="465"/>
      <c r="I89" s="20"/>
      <c r="J89" s="20"/>
      <c r="K89" s="106"/>
      <c r="L89" s="499" t="s">
        <v>254</v>
      </c>
      <c r="M89" s="69">
        <f>IF(J93&lt;D11,0,VLOOKUP(J93,C100:P155,6))</f>
        <v>985527.80264833011</v>
      </c>
      <c r="N89" s="69">
        <f>IF(J93&lt;D11,0,VLOOKUP(J93,C100:P155,7))</f>
        <v>985527.80264833011</v>
      </c>
      <c r="O89" s="500">
        <f>+N89-M89</f>
        <v>0</v>
      </c>
      <c r="P89" s="465"/>
    </row>
    <row r="90" spans="1:16" ht="13.5" thickBot="1">
      <c r="C90" s="25" t="s">
        <v>82</v>
      </c>
      <c r="D90" s="96" t="str">
        <f>+D7</f>
        <v>Pryor Junction 138/115 kV</v>
      </c>
      <c r="E90" s="465"/>
      <c r="F90" s="465"/>
      <c r="G90" s="465"/>
      <c r="H90" s="465"/>
      <c r="I90" s="467"/>
      <c r="J90" s="467"/>
      <c r="K90" s="108"/>
      <c r="L90" s="501" t="s">
        <v>135</v>
      </c>
      <c r="M90" s="72">
        <f>+M89-M88</f>
        <v>65416.501334482571</v>
      </c>
      <c r="N90" s="72">
        <f>+N89-N88</f>
        <v>65416.501334482571</v>
      </c>
      <c r="O90" s="73">
        <f>+O89-O88</f>
        <v>0</v>
      </c>
      <c r="P90" s="465"/>
    </row>
    <row r="91" spans="1:16" ht="13.5" thickBot="1">
      <c r="C91" s="29"/>
      <c r="D91" s="65" t="str">
        <f>IF(D8="","",D8)</f>
        <v/>
      </c>
      <c r="E91" s="480"/>
      <c r="F91" s="480"/>
      <c r="G91" s="480"/>
      <c r="H91" s="472"/>
      <c r="I91" s="467"/>
      <c r="J91" s="467"/>
      <c r="K91" s="468"/>
      <c r="L91" s="467"/>
      <c r="M91" s="467"/>
      <c r="N91" s="467"/>
      <c r="O91" s="468"/>
      <c r="P91" s="465"/>
    </row>
    <row r="92" spans="1:16" ht="13.5" thickBot="1">
      <c r="C92" s="502" t="s">
        <v>83</v>
      </c>
      <c r="D92" s="88" t="str">
        <f>+D9</f>
        <v>TP2019132</v>
      </c>
      <c r="E92" s="75" t="str">
        <f>E9</f>
        <v xml:space="preserve">  SPP Project ID = 81571</v>
      </c>
      <c r="F92" s="75"/>
      <c r="G92" s="75"/>
      <c r="H92" s="75"/>
      <c r="I92" s="75"/>
      <c r="J92" s="75"/>
    </row>
    <row r="93" spans="1:16">
      <c r="C93" s="474" t="s">
        <v>49</v>
      </c>
      <c r="D93" s="503">
        <v>6667707.9799999995</v>
      </c>
      <c r="E93" s="465" t="s">
        <v>84</v>
      </c>
      <c r="H93" s="466"/>
      <c r="I93" s="466"/>
      <c r="J93" s="36">
        <f>+'OKT.WS.G.BPU.ATRR.True-up'!M16</f>
        <v>2025</v>
      </c>
      <c r="K93" s="33"/>
      <c r="L93" s="468" t="s">
        <v>85</v>
      </c>
      <c r="P93" s="465"/>
    </row>
    <row r="94" spans="1:16">
      <c r="C94" s="474" t="s">
        <v>52</v>
      </c>
      <c r="D94" s="504">
        <f>IF(D11="","",D11)</f>
        <v>2022</v>
      </c>
      <c r="E94" s="474" t="s">
        <v>53</v>
      </c>
      <c r="F94" s="466"/>
      <c r="G94" s="466"/>
      <c r="J94" s="475">
        <v>0</v>
      </c>
      <c r="K94" s="476"/>
      <c r="L94" t="str">
        <f>"          INPUT TRUE-UP ARR (WITH &amp; WITHOUT INCENTIVES) FROM EACH PRIOR YEAR"</f>
        <v xml:space="preserve">          INPUT TRUE-UP ARR (WITH &amp; WITHOUT INCENTIVES) FROM EACH PRIOR YEAR</v>
      </c>
      <c r="P94" s="465"/>
    </row>
    <row r="95" spans="1:16">
      <c r="C95" s="474" t="s">
        <v>54</v>
      </c>
      <c r="D95" s="504">
        <f>IF(D12="","",D12)</f>
        <v>6</v>
      </c>
      <c r="E95" s="474" t="s">
        <v>55</v>
      </c>
      <c r="F95" s="466"/>
      <c r="G95" s="466"/>
      <c r="J95" s="477">
        <v>0.11475877389767174</v>
      </c>
      <c r="K95" s="280"/>
      <c r="L95" t="s">
        <v>86</v>
      </c>
      <c r="P95" s="465"/>
    </row>
    <row r="96" spans="1:16">
      <c r="C96" s="474" t="s">
        <v>57</v>
      </c>
      <c r="D96" s="475">
        <v>21</v>
      </c>
      <c r="E96" s="474" t="s">
        <v>58</v>
      </c>
      <c r="F96" s="466"/>
      <c r="G96" s="466"/>
      <c r="J96" s="477">
        <v>0.11475877389767174</v>
      </c>
      <c r="K96" s="280"/>
      <c r="L96" s="468" t="s">
        <v>59</v>
      </c>
      <c r="M96" s="280"/>
      <c r="N96" s="280"/>
      <c r="O96" s="280"/>
      <c r="P96" s="465"/>
    </row>
    <row r="97" spans="1:16" ht="13.5" thickBot="1">
      <c r="C97" s="474" t="s">
        <v>60</v>
      </c>
      <c r="D97" s="505" t="str">
        <f>+D14</f>
        <v>No</v>
      </c>
      <c r="E97" s="506" t="s">
        <v>62</v>
      </c>
      <c r="F97" s="507"/>
      <c r="G97" s="507"/>
      <c r="H97" s="77"/>
      <c r="I97" s="77"/>
      <c r="J97" s="471">
        <f>IF(D93=0,0,D93/D96)</f>
        <v>317509.90380952379</v>
      </c>
      <c r="K97" s="468"/>
      <c r="L97" s="468"/>
      <c r="M97" s="468"/>
      <c r="N97" s="468"/>
      <c r="O97" s="468"/>
      <c r="P97" s="465"/>
    </row>
    <row r="98" spans="1:16" ht="38.25">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3.5" thickBot="1">
      <c r="B100" t="str">
        <f t="shared" ref="B100:B155" si="16">IF(D100=F99,"","IU")</f>
        <v>IU</v>
      </c>
      <c r="C100" s="479">
        <f>IF(D94= "","-",D94)</f>
        <v>2022</v>
      </c>
      <c r="D100" s="512">
        <v>0</v>
      </c>
      <c r="E100" s="512">
        <v>52871.560873015871</v>
      </c>
      <c r="F100" s="512">
        <v>6608945.1091269841</v>
      </c>
      <c r="G100" s="512">
        <v>3304472.5545634921</v>
      </c>
      <c r="H100" s="512">
        <v>432088.77961322945</v>
      </c>
      <c r="I100" s="512">
        <v>432088.77961322945</v>
      </c>
      <c r="J100" s="484">
        <f t="shared" ref="J100:J131" si="17">+I100-H100</f>
        <v>0</v>
      </c>
      <c r="K100" s="484"/>
      <c r="L100" s="376">
        <f>+H100</f>
        <v>432088.77961322945</v>
      </c>
      <c r="M100" s="484">
        <f t="shared" ref="M100:M131" si="18">IF(L100&lt;&gt;0,+H100-L100,0)</f>
        <v>0</v>
      </c>
      <c r="N100" s="376">
        <f>+I100</f>
        <v>432088.77961322945</v>
      </c>
      <c r="O100" s="483">
        <f t="shared" ref="O100:O131" si="19">IF(N100&lt;&gt;0,+I100-N100,0)</f>
        <v>0</v>
      </c>
      <c r="P100" s="483">
        <f t="shared" ref="P100:P131" si="20">+O100-M100</f>
        <v>0</v>
      </c>
    </row>
    <row r="101" spans="1:16" ht="13.5" thickBot="1">
      <c r="B101" t="str">
        <f t="shared" si="16"/>
        <v>IU</v>
      </c>
      <c r="C101" s="479">
        <f>IF(D94="","-",+C100+1)</f>
        <v>2023</v>
      </c>
      <c r="D101" s="512">
        <v>6614836.4191269837</v>
      </c>
      <c r="E101" s="512">
        <v>317509.90380952379</v>
      </c>
      <c r="F101" s="512">
        <v>6297326.5153174596</v>
      </c>
      <c r="G101" s="512">
        <v>6456081.4672222212</v>
      </c>
      <c r="H101" s="512">
        <v>1058401.8971714275</v>
      </c>
      <c r="I101" s="512">
        <v>1058401.8971714275</v>
      </c>
      <c r="J101" s="484">
        <f t="shared" si="17"/>
        <v>0</v>
      </c>
      <c r="K101" s="484"/>
      <c r="L101" s="376">
        <f>+H101</f>
        <v>1058401.8971714275</v>
      </c>
      <c r="M101" s="484">
        <f t="shared" ref="M101" si="21">IF(L101&lt;&gt;0,+H101-L101,0)</f>
        <v>0</v>
      </c>
      <c r="N101" s="376">
        <f>+I101</f>
        <v>1058401.8971714275</v>
      </c>
      <c r="O101" s="483">
        <f t="shared" ref="O101" si="22">IF(N101&lt;&gt;0,+I101-N101,0)</f>
        <v>0</v>
      </c>
      <c r="P101" s="483">
        <f t="shared" ref="P101" si="23">+O101-M101</f>
        <v>0</v>
      </c>
    </row>
    <row r="102" spans="1:16">
      <c r="B102" t="str">
        <f t="shared" si="16"/>
        <v/>
      </c>
      <c r="C102" s="479">
        <f>IF(D94="","-",+C101+1)</f>
        <v>2024</v>
      </c>
      <c r="D102" s="512">
        <v>6297326.5153174596</v>
      </c>
      <c r="E102" s="512">
        <v>317509.90380952379</v>
      </c>
      <c r="F102" s="512">
        <v>5979816.6115079354</v>
      </c>
      <c r="G102" s="512">
        <v>6138571.563412698</v>
      </c>
      <c r="H102" s="512">
        <v>1021964.8499098789</v>
      </c>
      <c r="I102" s="512">
        <v>1021964.8499098789</v>
      </c>
      <c r="J102" s="484">
        <f t="shared" si="17"/>
        <v>0</v>
      </c>
      <c r="K102" s="484"/>
      <c r="L102" s="376">
        <f>+H102</f>
        <v>1021964.8499098789</v>
      </c>
      <c r="M102" s="484">
        <f t="shared" ref="M102" si="24">IF(L102&lt;&gt;0,+H102-L102,0)</f>
        <v>0</v>
      </c>
      <c r="N102" s="376">
        <f>+I102</f>
        <v>1021964.8499098789</v>
      </c>
      <c r="O102" s="483">
        <f t="shared" ref="O102" si="25">IF(N102&lt;&gt;0,+I102-N102,0)</f>
        <v>0</v>
      </c>
      <c r="P102" s="483">
        <f t="shared" ref="P102" si="26">+O102-M102</f>
        <v>0</v>
      </c>
    </row>
    <row r="103" spans="1:16">
      <c r="B103" t="str">
        <f t="shared" si="16"/>
        <v/>
      </c>
      <c r="C103" s="479">
        <f>IF(D94="","-",+C102+1)</f>
        <v>2025</v>
      </c>
      <c r="D103" s="480">
        <f>IF(F102+SUM(E$100:E102)=D$93,F102,D$93-SUM(E$100:E102))</f>
        <v>5979816.6115079354</v>
      </c>
      <c r="E103" s="55">
        <f t="shared" ref="E103:E155" si="27">IF(+J$97&lt;F102,J$97,D103)</f>
        <v>317509.90380952379</v>
      </c>
      <c r="F103" s="481">
        <f t="shared" ref="F103:F155" si="28">+D103-E103</f>
        <v>5662306.7076984113</v>
      </c>
      <c r="G103" s="481">
        <f t="shared" ref="G103:G155" si="29">+(F103+D103)/2</f>
        <v>5821061.6596031729</v>
      </c>
      <c r="H103" s="110">
        <f t="shared" ref="H103:H107" si="30">+J$95*G103+E103</f>
        <v>985527.80264833011</v>
      </c>
      <c r="I103" s="119">
        <f t="shared" ref="I103:I155" si="31">+J$96*G103+E103</f>
        <v>985527.80264833011</v>
      </c>
      <c r="J103" s="484">
        <f t="shared" si="17"/>
        <v>0</v>
      </c>
      <c r="K103" s="484"/>
      <c r="L103" s="112"/>
      <c r="M103" s="484">
        <f t="shared" si="18"/>
        <v>0</v>
      </c>
      <c r="N103" s="112"/>
      <c r="O103" s="484">
        <f t="shared" si="19"/>
        <v>0</v>
      </c>
      <c r="P103" s="484">
        <f t="shared" si="20"/>
        <v>0</v>
      </c>
    </row>
    <row r="104" spans="1:16">
      <c r="B104" t="str">
        <f t="shared" si="16"/>
        <v/>
      </c>
      <c r="C104" s="479">
        <f>IF(D94="","-",+C103+1)</f>
        <v>2026</v>
      </c>
      <c r="D104" s="480">
        <f>IF(F103+SUM(E$100:E103)=D$93,F103,D$93-SUM(E$100:E103))</f>
        <v>5662306.7076984113</v>
      </c>
      <c r="E104" s="55">
        <f t="shared" si="27"/>
        <v>317509.90380952379</v>
      </c>
      <c r="F104" s="481">
        <f t="shared" si="28"/>
        <v>5344796.8038888872</v>
      </c>
      <c r="G104" s="481">
        <f t="shared" si="29"/>
        <v>5503551.7557936497</v>
      </c>
      <c r="H104" s="110">
        <f t="shared" si="30"/>
        <v>949090.75538678153</v>
      </c>
      <c r="I104" s="119">
        <f t="shared" si="31"/>
        <v>949090.75538678153</v>
      </c>
      <c r="J104" s="484">
        <f t="shared" si="17"/>
        <v>0</v>
      </c>
      <c r="K104" s="484"/>
      <c r="L104" s="112"/>
      <c r="M104" s="484">
        <f t="shared" si="18"/>
        <v>0</v>
      </c>
      <c r="N104" s="112"/>
      <c r="O104" s="484">
        <f t="shared" si="19"/>
        <v>0</v>
      </c>
      <c r="P104" s="484">
        <f t="shared" si="20"/>
        <v>0</v>
      </c>
    </row>
    <row r="105" spans="1:16">
      <c r="B105" t="str">
        <f t="shared" si="16"/>
        <v/>
      </c>
      <c r="C105" s="479">
        <f>IF(D94="","-",+C104+1)</f>
        <v>2027</v>
      </c>
      <c r="D105" s="480">
        <f>IF(F104+SUM(E$100:E104)=D$93,F104,D$93-SUM(E$100:E104))</f>
        <v>5344796.8038888872</v>
      </c>
      <c r="E105" s="55">
        <f t="shared" si="27"/>
        <v>317509.90380952379</v>
      </c>
      <c r="F105" s="481">
        <f t="shared" si="28"/>
        <v>5027286.900079363</v>
      </c>
      <c r="G105" s="481">
        <f t="shared" si="29"/>
        <v>5186041.8519841246</v>
      </c>
      <c r="H105" s="110">
        <f t="shared" si="30"/>
        <v>912653.70812523272</v>
      </c>
      <c r="I105" s="119">
        <f t="shared" si="31"/>
        <v>912653.70812523272</v>
      </c>
      <c r="J105" s="484">
        <f t="shared" si="17"/>
        <v>0</v>
      </c>
      <c r="K105" s="484"/>
      <c r="L105" s="112"/>
      <c r="M105" s="484">
        <f t="shared" si="18"/>
        <v>0</v>
      </c>
      <c r="N105" s="112"/>
      <c r="O105" s="484">
        <f t="shared" si="19"/>
        <v>0</v>
      </c>
      <c r="P105" s="484">
        <f t="shared" si="20"/>
        <v>0</v>
      </c>
    </row>
    <row r="106" spans="1:16">
      <c r="B106" t="str">
        <f t="shared" si="16"/>
        <v/>
      </c>
      <c r="C106" s="479">
        <f>IF(D94="","-",+C105+1)</f>
        <v>2028</v>
      </c>
      <c r="D106" s="480">
        <f>IF(F105+SUM(E$100:E105)=D$93,F105,D$93-SUM(E$100:E105))</f>
        <v>5027286.900079363</v>
      </c>
      <c r="E106" s="55">
        <f t="shared" si="27"/>
        <v>317509.90380952379</v>
      </c>
      <c r="F106" s="481">
        <f t="shared" si="28"/>
        <v>4709776.9962698389</v>
      </c>
      <c r="G106" s="481">
        <f t="shared" si="29"/>
        <v>4868531.9481746014</v>
      </c>
      <c r="H106" s="110">
        <f t="shared" si="30"/>
        <v>876216.66086368414</v>
      </c>
      <c r="I106" s="119">
        <f t="shared" si="31"/>
        <v>876216.66086368414</v>
      </c>
      <c r="J106" s="484">
        <f t="shared" si="17"/>
        <v>0</v>
      </c>
      <c r="K106" s="484"/>
      <c r="L106" s="112"/>
      <c r="M106" s="484">
        <f t="shared" si="18"/>
        <v>0</v>
      </c>
      <c r="N106" s="112"/>
      <c r="O106" s="484">
        <f t="shared" si="19"/>
        <v>0</v>
      </c>
      <c r="P106" s="484">
        <f t="shared" si="20"/>
        <v>0</v>
      </c>
    </row>
    <row r="107" spans="1:16">
      <c r="B107" t="str">
        <f t="shared" si="16"/>
        <v/>
      </c>
      <c r="C107" s="479">
        <f>IF(D94="","-",+C106+1)</f>
        <v>2029</v>
      </c>
      <c r="D107" s="480">
        <f>IF(F106+SUM(E$100:E106)=D$93,F106,D$93-SUM(E$100:E106))</f>
        <v>4709776.9962698389</v>
      </c>
      <c r="E107" s="55">
        <f t="shared" si="27"/>
        <v>317509.90380952379</v>
      </c>
      <c r="F107" s="481">
        <f t="shared" si="28"/>
        <v>4392267.0924603147</v>
      </c>
      <c r="G107" s="481">
        <f t="shared" si="29"/>
        <v>4551022.0443650763</v>
      </c>
      <c r="H107" s="110">
        <f t="shared" si="30"/>
        <v>839779.61360213533</v>
      </c>
      <c r="I107" s="119">
        <f t="shared" si="31"/>
        <v>839779.61360213533</v>
      </c>
      <c r="J107" s="484">
        <f t="shared" si="17"/>
        <v>0</v>
      </c>
      <c r="K107" s="484"/>
      <c r="L107" s="112"/>
      <c r="M107" s="484">
        <f t="shared" si="18"/>
        <v>0</v>
      </c>
      <c r="N107" s="112"/>
      <c r="O107" s="484">
        <f t="shared" si="19"/>
        <v>0</v>
      </c>
      <c r="P107" s="484">
        <f t="shared" si="20"/>
        <v>0</v>
      </c>
    </row>
    <row r="108" spans="1:16">
      <c r="B108" t="str">
        <f t="shared" si="16"/>
        <v/>
      </c>
      <c r="C108" s="479">
        <f>IF(D94="","-",+C107+1)</f>
        <v>2030</v>
      </c>
      <c r="D108" s="480">
        <f>IF(F107+SUM(E$100:E107)=D$93,F107,D$93-SUM(E$100:E107))</f>
        <v>4392267.0924603147</v>
      </c>
      <c r="E108" s="377">
        <f t="shared" si="27"/>
        <v>317509.90380952379</v>
      </c>
      <c r="F108" s="481">
        <f t="shared" si="28"/>
        <v>4074757.1886507911</v>
      </c>
      <c r="G108" s="481">
        <f t="shared" si="29"/>
        <v>4233512.1405555531</v>
      </c>
      <c r="H108" s="459">
        <f t="shared" ref="H108:H155" si="32">(D108+F108)/2*J$95+E108</f>
        <v>803342.56634058687</v>
      </c>
      <c r="I108" s="446">
        <f t="shared" si="31"/>
        <v>803342.56634058687</v>
      </c>
      <c r="J108" s="484">
        <f t="shared" si="17"/>
        <v>0</v>
      </c>
      <c r="K108" s="484"/>
      <c r="L108" s="112"/>
      <c r="M108" s="484">
        <f t="shared" si="18"/>
        <v>0</v>
      </c>
      <c r="N108" s="112"/>
      <c r="O108" s="484">
        <f t="shared" si="19"/>
        <v>0</v>
      </c>
      <c r="P108" s="484">
        <f t="shared" si="20"/>
        <v>0</v>
      </c>
    </row>
    <row r="109" spans="1:16">
      <c r="B109" t="str">
        <f t="shared" si="16"/>
        <v/>
      </c>
      <c r="C109" s="479">
        <f>IF(D94="","-",+C108+1)</f>
        <v>2031</v>
      </c>
      <c r="D109" s="480">
        <f>IF(F108+SUM(E$100:E108)=D$93,F108,D$93-SUM(E$100:E108))</f>
        <v>4074757.1886507911</v>
      </c>
      <c r="E109" s="377">
        <f t="shared" si="27"/>
        <v>317509.90380952379</v>
      </c>
      <c r="F109" s="481">
        <f t="shared" si="28"/>
        <v>3757247.2848412674</v>
      </c>
      <c r="G109" s="481">
        <f t="shared" si="29"/>
        <v>3916002.236746029</v>
      </c>
      <c r="H109" s="459">
        <f t="shared" si="32"/>
        <v>766905.51907903817</v>
      </c>
      <c r="I109" s="446">
        <f t="shared" si="31"/>
        <v>766905.51907903817</v>
      </c>
      <c r="J109" s="484">
        <f t="shared" si="17"/>
        <v>0</v>
      </c>
      <c r="K109" s="484"/>
      <c r="L109" s="112"/>
      <c r="M109" s="484">
        <f t="shared" si="18"/>
        <v>0</v>
      </c>
      <c r="N109" s="112"/>
      <c r="O109" s="484">
        <f t="shared" si="19"/>
        <v>0</v>
      </c>
      <c r="P109" s="484">
        <f t="shared" si="20"/>
        <v>0</v>
      </c>
    </row>
    <row r="110" spans="1:16">
      <c r="B110" t="str">
        <f t="shared" si="16"/>
        <v/>
      </c>
      <c r="C110" s="479">
        <f>IF(D94="","-",+C109+1)</f>
        <v>2032</v>
      </c>
      <c r="D110" s="480">
        <f>IF(F109+SUM(E$100:E109)=D$93,F109,D$93-SUM(E$100:E109))</f>
        <v>3757247.2848412674</v>
      </c>
      <c r="E110" s="377">
        <f t="shared" si="27"/>
        <v>317509.90380952379</v>
      </c>
      <c r="F110" s="481">
        <f t="shared" si="28"/>
        <v>3439737.3810317437</v>
      </c>
      <c r="G110" s="481">
        <f t="shared" si="29"/>
        <v>3598492.3329365058</v>
      </c>
      <c r="H110" s="459">
        <f t="shared" si="32"/>
        <v>730468.47181748948</v>
      </c>
      <c r="I110" s="446">
        <f t="shared" si="31"/>
        <v>730468.47181748948</v>
      </c>
      <c r="J110" s="484">
        <f t="shared" si="17"/>
        <v>0</v>
      </c>
      <c r="K110" s="484"/>
      <c r="L110" s="112"/>
      <c r="M110" s="484">
        <f t="shared" si="18"/>
        <v>0</v>
      </c>
      <c r="N110" s="112"/>
      <c r="O110" s="484">
        <f t="shared" si="19"/>
        <v>0</v>
      </c>
      <c r="P110" s="484">
        <f t="shared" si="20"/>
        <v>0</v>
      </c>
    </row>
    <row r="111" spans="1:16">
      <c r="B111" t="str">
        <f t="shared" si="16"/>
        <v/>
      </c>
      <c r="C111" s="479">
        <f>IF(D94="","-",+C110+1)</f>
        <v>2033</v>
      </c>
      <c r="D111" s="480">
        <f>IF(F110+SUM(E$100:E110)=D$93,F110,D$93-SUM(E$100:E110))</f>
        <v>3439737.3810317437</v>
      </c>
      <c r="E111" s="377">
        <f t="shared" si="27"/>
        <v>317509.90380952379</v>
      </c>
      <c r="F111" s="481">
        <f t="shared" si="28"/>
        <v>3122227.47722222</v>
      </c>
      <c r="G111" s="481">
        <f t="shared" si="29"/>
        <v>3280982.4291269816</v>
      </c>
      <c r="H111" s="459">
        <f t="shared" si="32"/>
        <v>694031.42455594079</v>
      </c>
      <c r="I111" s="446">
        <f t="shared" si="31"/>
        <v>694031.42455594079</v>
      </c>
      <c r="J111" s="484">
        <f t="shared" si="17"/>
        <v>0</v>
      </c>
      <c r="K111" s="484"/>
      <c r="L111" s="112"/>
      <c r="M111" s="484">
        <f t="shared" si="18"/>
        <v>0</v>
      </c>
      <c r="N111" s="112"/>
      <c r="O111" s="484">
        <f t="shared" si="19"/>
        <v>0</v>
      </c>
      <c r="P111" s="484">
        <f t="shared" si="20"/>
        <v>0</v>
      </c>
    </row>
    <row r="112" spans="1:16">
      <c r="B112" t="str">
        <f t="shared" si="16"/>
        <v/>
      </c>
      <c r="C112" s="479">
        <f>IF(D94="","-",+C111+1)</f>
        <v>2034</v>
      </c>
      <c r="D112" s="480">
        <f>IF(F111+SUM(E$100:E111)=D$93,F111,D$93-SUM(E$100:E111))</f>
        <v>3122227.47722222</v>
      </c>
      <c r="E112" s="377">
        <f t="shared" si="27"/>
        <v>317509.90380952379</v>
      </c>
      <c r="F112" s="481">
        <f t="shared" si="28"/>
        <v>2804717.5734126964</v>
      </c>
      <c r="G112" s="481">
        <f t="shared" si="29"/>
        <v>2963472.5253174584</v>
      </c>
      <c r="H112" s="459">
        <f t="shared" si="32"/>
        <v>657594.37729439232</v>
      </c>
      <c r="I112" s="446">
        <f t="shared" si="31"/>
        <v>657594.37729439232</v>
      </c>
      <c r="J112" s="484">
        <f t="shared" si="17"/>
        <v>0</v>
      </c>
      <c r="K112" s="484"/>
      <c r="L112" s="112"/>
      <c r="M112" s="484">
        <f t="shared" si="18"/>
        <v>0</v>
      </c>
      <c r="N112" s="112"/>
      <c r="O112" s="484">
        <f t="shared" si="19"/>
        <v>0</v>
      </c>
      <c r="P112" s="484">
        <f t="shared" si="20"/>
        <v>0</v>
      </c>
    </row>
    <row r="113" spans="2:16">
      <c r="B113" t="str">
        <f t="shared" si="16"/>
        <v/>
      </c>
      <c r="C113" s="479">
        <f>IF(D94="","-",+C112+1)</f>
        <v>2035</v>
      </c>
      <c r="D113" s="480">
        <f>IF(F112+SUM(E$100:E112)=D$93,F112,D$93-SUM(E$100:E112))</f>
        <v>2804717.5734126964</v>
      </c>
      <c r="E113" s="377">
        <f t="shared" si="27"/>
        <v>317509.90380952379</v>
      </c>
      <c r="F113" s="481">
        <f t="shared" si="28"/>
        <v>2487207.6696031727</v>
      </c>
      <c r="G113" s="481">
        <f t="shared" si="29"/>
        <v>2645962.6215079343</v>
      </c>
      <c r="H113" s="459">
        <f t="shared" si="32"/>
        <v>621157.33003284363</v>
      </c>
      <c r="I113" s="446">
        <f t="shared" si="31"/>
        <v>621157.33003284363</v>
      </c>
      <c r="J113" s="484">
        <f t="shared" si="17"/>
        <v>0</v>
      </c>
      <c r="K113" s="484"/>
      <c r="L113" s="112"/>
      <c r="M113" s="484">
        <f t="shared" si="18"/>
        <v>0</v>
      </c>
      <c r="N113" s="112"/>
      <c r="O113" s="484">
        <f t="shared" si="19"/>
        <v>0</v>
      </c>
      <c r="P113" s="484">
        <f t="shared" si="20"/>
        <v>0</v>
      </c>
    </row>
    <row r="114" spans="2:16">
      <c r="B114" t="str">
        <f t="shared" si="16"/>
        <v/>
      </c>
      <c r="C114" s="479">
        <f>IF(D94="","-",+C113+1)</f>
        <v>2036</v>
      </c>
      <c r="D114" s="480">
        <f>IF(F113+SUM(E$100:E113)=D$93,F113,D$93-SUM(E$100:E113))</f>
        <v>2487207.6696031727</v>
      </c>
      <c r="E114" s="377">
        <f t="shared" si="27"/>
        <v>317509.90380952379</v>
      </c>
      <c r="F114" s="481">
        <f t="shared" si="28"/>
        <v>2169697.765793649</v>
      </c>
      <c r="G114" s="481">
        <f t="shared" si="29"/>
        <v>2328452.7176984111</v>
      </c>
      <c r="H114" s="459">
        <f t="shared" si="32"/>
        <v>584720.28277129505</v>
      </c>
      <c r="I114" s="446">
        <f t="shared" si="31"/>
        <v>584720.28277129505</v>
      </c>
      <c r="J114" s="484">
        <f t="shared" si="17"/>
        <v>0</v>
      </c>
      <c r="K114" s="484"/>
      <c r="L114" s="112"/>
      <c r="M114" s="484">
        <f t="shared" si="18"/>
        <v>0</v>
      </c>
      <c r="N114" s="112"/>
      <c r="O114" s="484">
        <f t="shared" si="19"/>
        <v>0</v>
      </c>
      <c r="P114" s="484">
        <f t="shared" si="20"/>
        <v>0</v>
      </c>
    </row>
    <row r="115" spans="2:16">
      <c r="B115" t="str">
        <f t="shared" si="16"/>
        <v/>
      </c>
      <c r="C115" s="479">
        <f>IF(D94="","-",+C114+1)</f>
        <v>2037</v>
      </c>
      <c r="D115" s="480">
        <f>IF(F114+SUM(E$100:E114)=D$93,F114,D$93-SUM(E$100:E114))</f>
        <v>2169697.765793649</v>
      </c>
      <c r="E115" s="377">
        <f t="shared" si="27"/>
        <v>317509.90380952379</v>
      </c>
      <c r="F115" s="481">
        <f t="shared" si="28"/>
        <v>1852187.8619841253</v>
      </c>
      <c r="G115" s="481">
        <f t="shared" si="29"/>
        <v>2010942.8138888872</v>
      </c>
      <c r="H115" s="459">
        <f t="shared" si="32"/>
        <v>548283.23550974636</v>
      </c>
      <c r="I115" s="446">
        <f t="shared" si="31"/>
        <v>548283.23550974636</v>
      </c>
      <c r="J115" s="484">
        <f t="shared" si="17"/>
        <v>0</v>
      </c>
      <c r="K115" s="484"/>
      <c r="L115" s="112"/>
      <c r="M115" s="484">
        <f t="shared" si="18"/>
        <v>0</v>
      </c>
      <c r="N115" s="112"/>
      <c r="O115" s="484">
        <f t="shared" si="19"/>
        <v>0</v>
      </c>
      <c r="P115" s="484">
        <f t="shared" si="20"/>
        <v>0</v>
      </c>
    </row>
    <row r="116" spans="2:16">
      <c r="B116" t="str">
        <f t="shared" si="16"/>
        <v/>
      </c>
      <c r="C116" s="479">
        <f>IF(D94="","-",+C115+1)</f>
        <v>2038</v>
      </c>
      <c r="D116" s="480">
        <f>IF(F115+SUM(E$100:E115)=D$93,F115,D$93-SUM(E$100:E115))</f>
        <v>1852187.8619841253</v>
      </c>
      <c r="E116" s="377">
        <f t="shared" si="27"/>
        <v>317509.90380952379</v>
      </c>
      <c r="F116" s="481">
        <f t="shared" si="28"/>
        <v>1534677.9581746017</v>
      </c>
      <c r="G116" s="481">
        <f t="shared" si="29"/>
        <v>1693432.9100793635</v>
      </c>
      <c r="H116" s="459">
        <f t="shared" si="32"/>
        <v>511846.18824819778</v>
      </c>
      <c r="I116" s="446">
        <f t="shared" si="31"/>
        <v>511846.18824819778</v>
      </c>
      <c r="J116" s="484">
        <f t="shared" si="17"/>
        <v>0</v>
      </c>
      <c r="K116" s="484"/>
      <c r="L116" s="112"/>
      <c r="M116" s="484">
        <f t="shared" si="18"/>
        <v>0</v>
      </c>
      <c r="N116" s="112"/>
      <c r="O116" s="484">
        <f t="shared" si="19"/>
        <v>0</v>
      </c>
      <c r="P116" s="484">
        <f t="shared" si="20"/>
        <v>0</v>
      </c>
    </row>
    <row r="117" spans="2:16">
      <c r="B117" t="str">
        <f t="shared" si="16"/>
        <v/>
      </c>
      <c r="C117" s="479">
        <f>IF(D94="","-",+C116+1)</f>
        <v>2039</v>
      </c>
      <c r="D117" s="480">
        <f>IF(F116+SUM(E$100:E116)=D$93,F116,D$93-SUM(E$100:E116))</f>
        <v>1534677.9581746017</v>
      </c>
      <c r="E117" s="377">
        <f t="shared" si="27"/>
        <v>317509.90380952379</v>
      </c>
      <c r="F117" s="481">
        <f t="shared" si="28"/>
        <v>1217168.054365078</v>
      </c>
      <c r="G117" s="481">
        <f t="shared" si="29"/>
        <v>1375923.0062698398</v>
      </c>
      <c r="H117" s="459">
        <f t="shared" si="32"/>
        <v>475409.14098664909</v>
      </c>
      <c r="I117" s="446">
        <f t="shared" si="31"/>
        <v>475409.14098664909</v>
      </c>
      <c r="J117" s="484">
        <f t="shared" si="17"/>
        <v>0</v>
      </c>
      <c r="K117" s="484"/>
      <c r="L117" s="112"/>
      <c r="M117" s="484">
        <f t="shared" si="18"/>
        <v>0</v>
      </c>
      <c r="N117" s="112"/>
      <c r="O117" s="484">
        <f t="shared" si="19"/>
        <v>0</v>
      </c>
      <c r="P117" s="484">
        <f t="shared" si="20"/>
        <v>0</v>
      </c>
    </row>
    <row r="118" spans="2:16">
      <c r="B118" t="str">
        <f t="shared" si="16"/>
        <v/>
      </c>
      <c r="C118" s="479">
        <f>IF(D94="","-",+C117+1)</f>
        <v>2040</v>
      </c>
      <c r="D118" s="480">
        <f>IF(F117+SUM(E$100:E117)=D$93,F117,D$93-SUM(E$100:E117))</f>
        <v>1217168.054365078</v>
      </c>
      <c r="E118" s="377">
        <f t="shared" si="27"/>
        <v>317509.90380952379</v>
      </c>
      <c r="F118" s="481">
        <f t="shared" si="28"/>
        <v>899658.1505555542</v>
      </c>
      <c r="G118" s="481">
        <f t="shared" si="29"/>
        <v>1058413.1024603161</v>
      </c>
      <c r="H118" s="459">
        <f t="shared" si="32"/>
        <v>438972.09372510051</v>
      </c>
      <c r="I118" s="446">
        <f t="shared" si="31"/>
        <v>438972.09372510051</v>
      </c>
      <c r="J118" s="484">
        <f t="shared" si="17"/>
        <v>0</v>
      </c>
      <c r="K118" s="484"/>
      <c r="L118" s="112"/>
      <c r="M118" s="484">
        <f t="shared" si="18"/>
        <v>0</v>
      </c>
      <c r="N118" s="112"/>
      <c r="O118" s="484">
        <f t="shared" si="19"/>
        <v>0</v>
      </c>
      <c r="P118" s="484">
        <f t="shared" si="20"/>
        <v>0</v>
      </c>
    </row>
    <row r="119" spans="2:16">
      <c r="B119" t="str">
        <f t="shared" si="16"/>
        <v/>
      </c>
      <c r="C119" s="479">
        <f>IF(D94="","-",+C118+1)</f>
        <v>2041</v>
      </c>
      <c r="D119" s="480">
        <f>IF(F118+SUM(E$100:E118)=D$93,F118,D$93-SUM(E$100:E118))</f>
        <v>899658.1505555542</v>
      </c>
      <c r="E119" s="377">
        <f t="shared" si="27"/>
        <v>317509.90380952379</v>
      </c>
      <c r="F119" s="481">
        <f t="shared" si="28"/>
        <v>582148.2467460304</v>
      </c>
      <c r="G119" s="481">
        <f t="shared" si="29"/>
        <v>740903.19865079224</v>
      </c>
      <c r="H119" s="459">
        <f t="shared" si="32"/>
        <v>402535.04646355181</v>
      </c>
      <c r="I119" s="446">
        <f t="shared" si="31"/>
        <v>402535.04646355181</v>
      </c>
      <c r="J119" s="484">
        <f t="shared" si="17"/>
        <v>0</v>
      </c>
      <c r="K119" s="484"/>
      <c r="L119" s="112"/>
      <c r="M119" s="484">
        <f t="shared" si="18"/>
        <v>0</v>
      </c>
      <c r="N119" s="112"/>
      <c r="O119" s="484">
        <f t="shared" si="19"/>
        <v>0</v>
      </c>
      <c r="P119" s="484">
        <f t="shared" si="20"/>
        <v>0</v>
      </c>
    </row>
    <row r="120" spans="2:16">
      <c r="B120" t="str">
        <f t="shared" si="16"/>
        <v/>
      </c>
      <c r="C120" s="479">
        <f>IF(D94="","-",+C119+1)</f>
        <v>2042</v>
      </c>
      <c r="D120" s="480">
        <f>IF(F119+SUM(E$100:E119)=D$93,F119,D$93-SUM(E$100:E119))</f>
        <v>582148.2467460304</v>
      </c>
      <c r="E120" s="377">
        <f t="shared" si="27"/>
        <v>317509.90380952379</v>
      </c>
      <c r="F120" s="481">
        <f t="shared" si="28"/>
        <v>264638.34293650661</v>
      </c>
      <c r="G120" s="481">
        <f t="shared" si="29"/>
        <v>423393.29484126851</v>
      </c>
      <c r="H120" s="459">
        <f t="shared" si="32"/>
        <v>366097.99920200318</v>
      </c>
      <c r="I120" s="446">
        <f t="shared" si="31"/>
        <v>366097.99920200318</v>
      </c>
      <c r="J120" s="484">
        <f t="shared" si="17"/>
        <v>0</v>
      </c>
      <c r="K120" s="484"/>
      <c r="L120" s="112"/>
      <c r="M120" s="484">
        <f t="shared" si="18"/>
        <v>0</v>
      </c>
      <c r="N120" s="112"/>
      <c r="O120" s="484">
        <f t="shared" si="19"/>
        <v>0</v>
      </c>
      <c r="P120" s="484">
        <f t="shared" si="20"/>
        <v>0</v>
      </c>
    </row>
    <row r="121" spans="2:16">
      <c r="B121" t="str">
        <f t="shared" si="16"/>
        <v/>
      </c>
      <c r="C121" s="479">
        <f>IF(D94="","-",+C120+1)</f>
        <v>2043</v>
      </c>
      <c r="D121" s="480">
        <f>IF(F120+SUM(E$100:E120)=D$93,F120,D$93-SUM(E$100:E120))</f>
        <v>264638.34293650661</v>
      </c>
      <c r="E121" s="377">
        <f t="shared" si="27"/>
        <v>264638.34293650661</v>
      </c>
      <c r="F121" s="481">
        <f t="shared" si="28"/>
        <v>0</v>
      </c>
      <c r="G121" s="481">
        <f t="shared" si="29"/>
        <v>132319.17146825331</v>
      </c>
      <c r="H121" s="459">
        <f t="shared" si="32"/>
        <v>279823.12881735916</v>
      </c>
      <c r="I121" s="446">
        <f t="shared" si="31"/>
        <v>279823.12881735916</v>
      </c>
      <c r="J121" s="484">
        <f t="shared" si="17"/>
        <v>0</v>
      </c>
      <c r="K121" s="484"/>
      <c r="L121" s="112"/>
      <c r="M121" s="484">
        <f t="shared" si="18"/>
        <v>0</v>
      </c>
      <c r="N121" s="112"/>
      <c r="O121" s="484">
        <f t="shared" si="19"/>
        <v>0</v>
      </c>
      <c r="P121" s="484">
        <f t="shared" si="20"/>
        <v>0</v>
      </c>
    </row>
    <row r="122" spans="2:16">
      <c r="B122" t="str">
        <f t="shared" si="16"/>
        <v/>
      </c>
      <c r="C122" s="479">
        <f>IF(D94="","-",+C121+1)</f>
        <v>2044</v>
      </c>
      <c r="D122" s="480">
        <f>IF(F121+SUM(E$100:E121)=D$93,F121,D$93-SUM(E$100:E121))</f>
        <v>0</v>
      </c>
      <c r="E122" s="377">
        <f t="shared" si="27"/>
        <v>0</v>
      </c>
      <c r="F122" s="481">
        <f t="shared" si="28"/>
        <v>0</v>
      </c>
      <c r="G122" s="481">
        <f t="shared" si="29"/>
        <v>0</v>
      </c>
      <c r="H122" s="459">
        <f t="shared" si="32"/>
        <v>0</v>
      </c>
      <c r="I122" s="446">
        <f t="shared" si="31"/>
        <v>0</v>
      </c>
      <c r="J122" s="484">
        <f t="shared" si="17"/>
        <v>0</v>
      </c>
      <c r="K122" s="484"/>
      <c r="L122" s="112"/>
      <c r="M122" s="484">
        <f t="shared" si="18"/>
        <v>0</v>
      </c>
      <c r="N122" s="112"/>
      <c r="O122" s="484">
        <f t="shared" si="19"/>
        <v>0</v>
      </c>
      <c r="P122" s="484">
        <f t="shared" si="20"/>
        <v>0</v>
      </c>
    </row>
    <row r="123" spans="2:16">
      <c r="B123" t="str">
        <f t="shared" si="16"/>
        <v/>
      </c>
      <c r="C123" s="479">
        <f>IF(D94="","-",+C122+1)</f>
        <v>2045</v>
      </c>
      <c r="D123" s="480">
        <f>IF(F122+SUM(E$100:E122)=D$93,F122,D$93-SUM(E$100:E122))</f>
        <v>0</v>
      </c>
      <c r="E123" s="377">
        <f t="shared" si="27"/>
        <v>0</v>
      </c>
      <c r="F123" s="481">
        <f t="shared" si="28"/>
        <v>0</v>
      </c>
      <c r="G123" s="481">
        <f t="shared" si="29"/>
        <v>0</v>
      </c>
      <c r="H123" s="459">
        <f t="shared" si="32"/>
        <v>0</v>
      </c>
      <c r="I123" s="446">
        <f t="shared" si="31"/>
        <v>0</v>
      </c>
      <c r="J123" s="484">
        <f t="shared" si="17"/>
        <v>0</v>
      </c>
      <c r="K123" s="484"/>
      <c r="L123" s="112"/>
      <c r="M123" s="484">
        <f t="shared" si="18"/>
        <v>0</v>
      </c>
      <c r="N123" s="112"/>
      <c r="O123" s="484">
        <f t="shared" si="19"/>
        <v>0</v>
      </c>
      <c r="P123" s="484">
        <f t="shared" si="20"/>
        <v>0</v>
      </c>
    </row>
    <row r="124" spans="2:16">
      <c r="B124" t="str">
        <f t="shared" si="16"/>
        <v/>
      </c>
      <c r="C124" s="479">
        <f>IF(D94="","-",+C123+1)</f>
        <v>2046</v>
      </c>
      <c r="D124" s="480">
        <f>IF(F123+SUM(E$100:E123)=D$93,F123,D$93-SUM(E$100:E123))</f>
        <v>0</v>
      </c>
      <c r="E124" s="377">
        <f t="shared" si="27"/>
        <v>0</v>
      </c>
      <c r="F124" s="481">
        <f t="shared" si="28"/>
        <v>0</v>
      </c>
      <c r="G124" s="481">
        <f t="shared" si="29"/>
        <v>0</v>
      </c>
      <c r="H124" s="459">
        <f t="shared" si="32"/>
        <v>0</v>
      </c>
      <c r="I124" s="446">
        <f t="shared" si="31"/>
        <v>0</v>
      </c>
      <c r="J124" s="484">
        <f t="shared" si="17"/>
        <v>0</v>
      </c>
      <c r="K124" s="484"/>
      <c r="L124" s="112"/>
      <c r="M124" s="484">
        <f t="shared" si="18"/>
        <v>0</v>
      </c>
      <c r="N124" s="112"/>
      <c r="O124" s="484">
        <f t="shared" si="19"/>
        <v>0</v>
      </c>
      <c r="P124" s="484">
        <f t="shared" si="20"/>
        <v>0</v>
      </c>
    </row>
    <row r="125" spans="2:16">
      <c r="B125" t="str">
        <f t="shared" si="16"/>
        <v/>
      </c>
      <c r="C125" s="479">
        <f>IF(D94="","-",+C124+1)</f>
        <v>2047</v>
      </c>
      <c r="D125" s="480">
        <f>IF(F124+SUM(E$100:E124)=D$93,F124,D$93-SUM(E$100:E124))</f>
        <v>0</v>
      </c>
      <c r="E125" s="377">
        <f t="shared" si="27"/>
        <v>0</v>
      </c>
      <c r="F125" s="481">
        <f t="shared" si="28"/>
        <v>0</v>
      </c>
      <c r="G125" s="481">
        <f t="shared" si="29"/>
        <v>0</v>
      </c>
      <c r="H125" s="459">
        <f t="shared" si="32"/>
        <v>0</v>
      </c>
      <c r="I125" s="446">
        <f t="shared" si="31"/>
        <v>0</v>
      </c>
      <c r="J125" s="484">
        <f t="shared" si="17"/>
        <v>0</v>
      </c>
      <c r="K125" s="484"/>
      <c r="L125" s="112"/>
      <c r="M125" s="484">
        <f t="shared" si="18"/>
        <v>0</v>
      </c>
      <c r="N125" s="112"/>
      <c r="O125" s="484">
        <f t="shared" si="19"/>
        <v>0</v>
      </c>
      <c r="P125" s="484">
        <f t="shared" si="20"/>
        <v>0</v>
      </c>
    </row>
    <row r="126" spans="2:16">
      <c r="B126" t="str">
        <f t="shared" si="16"/>
        <v/>
      </c>
      <c r="C126" s="479">
        <f>IF(D94="","-",+C125+1)</f>
        <v>2048</v>
      </c>
      <c r="D126" s="480">
        <f>IF(F125+SUM(E$100:E125)=D$93,F125,D$93-SUM(E$100:E125))</f>
        <v>0</v>
      </c>
      <c r="E126" s="377">
        <f t="shared" si="27"/>
        <v>0</v>
      </c>
      <c r="F126" s="481">
        <f t="shared" si="28"/>
        <v>0</v>
      </c>
      <c r="G126" s="481">
        <f t="shared" si="29"/>
        <v>0</v>
      </c>
      <c r="H126" s="459">
        <f t="shared" si="32"/>
        <v>0</v>
      </c>
      <c r="I126" s="446">
        <f t="shared" si="31"/>
        <v>0</v>
      </c>
      <c r="J126" s="484">
        <f t="shared" si="17"/>
        <v>0</v>
      </c>
      <c r="K126" s="484"/>
      <c r="L126" s="112"/>
      <c r="M126" s="484">
        <f t="shared" si="18"/>
        <v>0</v>
      </c>
      <c r="N126" s="112"/>
      <c r="O126" s="484">
        <f t="shared" si="19"/>
        <v>0</v>
      </c>
      <c r="P126" s="484">
        <f t="shared" si="20"/>
        <v>0</v>
      </c>
    </row>
    <row r="127" spans="2:16">
      <c r="B127" t="str">
        <f t="shared" si="16"/>
        <v/>
      </c>
      <c r="C127" s="479">
        <f>IF(D94="","-",+C126+1)</f>
        <v>2049</v>
      </c>
      <c r="D127" s="480">
        <f>IF(F126+SUM(E$100:E126)=D$93,F126,D$93-SUM(E$100:E126))</f>
        <v>0</v>
      </c>
      <c r="E127" s="377">
        <f t="shared" si="27"/>
        <v>0</v>
      </c>
      <c r="F127" s="481">
        <f t="shared" si="28"/>
        <v>0</v>
      </c>
      <c r="G127" s="481">
        <f t="shared" si="29"/>
        <v>0</v>
      </c>
      <c r="H127" s="459">
        <f t="shared" si="32"/>
        <v>0</v>
      </c>
      <c r="I127" s="446">
        <f t="shared" si="31"/>
        <v>0</v>
      </c>
      <c r="J127" s="484">
        <f t="shared" si="17"/>
        <v>0</v>
      </c>
      <c r="K127" s="484"/>
      <c r="L127" s="112"/>
      <c r="M127" s="484">
        <f t="shared" si="18"/>
        <v>0</v>
      </c>
      <c r="N127" s="112"/>
      <c r="O127" s="484">
        <f t="shared" si="19"/>
        <v>0</v>
      </c>
      <c r="P127" s="484">
        <f t="shared" si="20"/>
        <v>0</v>
      </c>
    </row>
    <row r="128" spans="2:16">
      <c r="B128" t="str">
        <f t="shared" si="16"/>
        <v/>
      </c>
      <c r="C128" s="479">
        <f>IF(D94="","-",+C127+1)</f>
        <v>2050</v>
      </c>
      <c r="D128" s="480">
        <f>IF(F127+SUM(E$100:E127)=D$93,F127,D$93-SUM(E$100:E127))</f>
        <v>0</v>
      </c>
      <c r="E128" s="377">
        <f t="shared" si="27"/>
        <v>0</v>
      </c>
      <c r="F128" s="481">
        <f t="shared" si="28"/>
        <v>0</v>
      </c>
      <c r="G128" s="481">
        <f t="shared" si="29"/>
        <v>0</v>
      </c>
      <c r="H128" s="459">
        <f t="shared" si="32"/>
        <v>0</v>
      </c>
      <c r="I128" s="446">
        <f t="shared" si="31"/>
        <v>0</v>
      </c>
      <c r="J128" s="484">
        <f t="shared" si="17"/>
        <v>0</v>
      </c>
      <c r="K128" s="484"/>
      <c r="L128" s="112"/>
      <c r="M128" s="484">
        <f t="shared" si="18"/>
        <v>0</v>
      </c>
      <c r="N128" s="112"/>
      <c r="O128" s="484">
        <f t="shared" si="19"/>
        <v>0</v>
      </c>
      <c r="P128" s="484">
        <f t="shared" si="20"/>
        <v>0</v>
      </c>
    </row>
    <row r="129" spans="2:16">
      <c r="B129" t="str">
        <f t="shared" si="16"/>
        <v/>
      </c>
      <c r="C129" s="479">
        <f>IF(D94="","-",+C128+1)</f>
        <v>2051</v>
      </c>
      <c r="D129" s="480">
        <f>IF(F128+SUM(E$100:E128)=D$93,F128,D$93-SUM(E$100:E128))</f>
        <v>0</v>
      </c>
      <c r="E129" s="377">
        <f t="shared" si="27"/>
        <v>0</v>
      </c>
      <c r="F129" s="481">
        <f t="shared" si="28"/>
        <v>0</v>
      </c>
      <c r="G129" s="481">
        <f t="shared" si="29"/>
        <v>0</v>
      </c>
      <c r="H129" s="459">
        <f t="shared" si="32"/>
        <v>0</v>
      </c>
      <c r="I129" s="446">
        <f t="shared" si="31"/>
        <v>0</v>
      </c>
      <c r="J129" s="484">
        <f t="shared" si="17"/>
        <v>0</v>
      </c>
      <c r="K129" s="484"/>
      <c r="L129" s="112"/>
      <c r="M129" s="484">
        <f t="shared" si="18"/>
        <v>0</v>
      </c>
      <c r="N129" s="112"/>
      <c r="O129" s="484">
        <f t="shared" si="19"/>
        <v>0</v>
      </c>
      <c r="P129" s="484">
        <f t="shared" si="20"/>
        <v>0</v>
      </c>
    </row>
    <row r="130" spans="2:16">
      <c r="B130" t="str">
        <f t="shared" si="16"/>
        <v/>
      </c>
      <c r="C130" s="479">
        <f>IF(D94="","-",+C129+1)</f>
        <v>2052</v>
      </c>
      <c r="D130" s="480">
        <f>IF(F129+SUM(E$100:E129)=D$93,F129,D$93-SUM(E$100:E129))</f>
        <v>0</v>
      </c>
      <c r="E130" s="377">
        <f t="shared" si="27"/>
        <v>0</v>
      </c>
      <c r="F130" s="481">
        <f t="shared" si="28"/>
        <v>0</v>
      </c>
      <c r="G130" s="481">
        <f t="shared" si="29"/>
        <v>0</v>
      </c>
      <c r="H130" s="459">
        <f t="shared" si="32"/>
        <v>0</v>
      </c>
      <c r="I130" s="446">
        <f t="shared" si="31"/>
        <v>0</v>
      </c>
      <c r="J130" s="484">
        <f t="shared" si="17"/>
        <v>0</v>
      </c>
      <c r="K130" s="484"/>
      <c r="L130" s="112"/>
      <c r="M130" s="484">
        <f t="shared" si="18"/>
        <v>0</v>
      </c>
      <c r="N130" s="112"/>
      <c r="O130" s="484">
        <f t="shared" si="19"/>
        <v>0</v>
      </c>
      <c r="P130" s="484">
        <f t="shared" si="20"/>
        <v>0</v>
      </c>
    </row>
    <row r="131" spans="2:16">
      <c r="B131" t="str">
        <f t="shared" si="16"/>
        <v/>
      </c>
      <c r="C131" s="479">
        <f>IF(D94="","-",+C130+1)</f>
        <v>2053</v>
      </c>
      <c r="D131" s="480">
        <f>IF(F130+SUM(E$100:E130)=D$93,F130,D$93-SUM(E$100:E130))</f>
        <v>0</v>
      </c>
      <c r="E131" s="377">
        <f t="shared" si="27"/>
        <v>0</v>
      </c>
      <c r="F131" s="481">
        <f t="shared" si="28"/>
        <v>0</v>
      </c>
      <c r="G131" s="481">
        <f t="shared" si="29"/>
        <v>0</v>
      </c>
      <c r="H131" s="459">
        <f t="shared" si="32"/>
        <v>0</v>
      </c>
      <c r="I131" s="446">
        <f t="shared" si="31"/>
        <v>0</v>
      </c>
      <c r="J131" s="484">
        <f t="shared" si="17"/>
        <v>0</v>
      </c>
      <c r="K131" s="484"/>
      <c r="L131" s="112"/>
      <c r="M131" s="484">
        <f t="shared" si="18"/>
        <v>0</v>
      </c>
      <c r="N131" s="112"/>
      <c r="O131" s="484">
        <f t="shared" si="19"/>
        <v>0</v>
      </c>
      <c r="P131" s="484">
        <f t="shared" si="20"/>
        <v>0</v>
      </c>
    </row>
    <row r="132" spans="2:16">
      <c r="B132" t="str">
        <f t="shared" si="16"/>
        <v/>
      </c>
      <c r="C132" s="479">
        <f>IF(D94="","-",+C131+1)</f>
        <v>2054</v>
      </c>
      <c r="D132" s="480">
        <f>IF(F131+SUM(E$100:E131)=D$93,F131,D$93-SUM(E$100:E131))</f>
        <v>0</v>
      </c>
      <c r="E132" s="377">
        <f t="shared" si="27"/>
        <v>0</v>
      </c>
      <c r="F132" s="481">
        <f t="shared" si="28"/>
        <v>0</v>
      </c>
      <c r="G132" s="481">
        <f t="shared" si="29"/>
        <v>0</v>
      </c>
      <c r="H132" s="459">
        <f t="shared" si="32"/>
        <v>0</v>
      </c>
      <c r="I132" s="446">
        <f t="shared" si="31"/>
        <v>0</v>
      </c>
      <c r="J132" s="484">
        <f t="shared" ref="J132:J155" si="33">+I542-H542</f>
        <v>0</v>
      </c>
      <c r="K132" s="484"/>
      <c r="L132" s="112"/>
      <c r="M132" s="484">
        <f t="shared" ref="M132:M155" si="34">IF(L542&lt;&gt;0,+H542-L542,0)</f>
        <v>0</v>
      </c>
      <c r="N132" s="112"/>
      <c r="O132" s="484">
        <f t="shared" ref="O132:O155" si="35">IF(N542&lt;&gt;0,+I542-N542,0)</f>
        <v>0</v>
      </c>
      <c r="P132" s="484">
        <f t="shared" ref="P132:P155" si="36">+O542-M542</f>
        <v>0</v>
      </c>
    </row>
    <row r="133" spans="2:16">
      <c r="B133" t="str">
        <f t="shared" si="16"/>
        <v/>
      </c>
      <c r="C133" s="479">
        <f>IF(D94="","-",+C132+1)</f>
        <v>2055</v>
      </c>
      <c r="D133" s="480">
        <f>IF(F132+SUM(E$100:E132)=D$93,F132,D$93-SUM(E$100:E132))</f>
        <v>0</v>
      </c>
      <c r="E133" s="377">
        <f t="shared" si="27"/>
        <v>0</v>
      </c>
      <c r="F133" s="481">
        <f t="shared" si="28"/>
        <v>0</v>
      </c>
      <c r="G133" s="481">
        <f t="shared" si="29"/>
        <v>0</v>
      </c>
      <c r="H133" s="459">
        <f t="shared" si="32"/>
        <v>0</v>
      </c>
      <c r="I133" s="446">
        <f t="shared" si="31"/>
        <v>0</v>
      </c>
      <c r="J133" s="484">
        <f t="shared" si="33"/>
        <v>0</v>
      </c>
      <c r="K133" s="484"/>
      <c r="L133" s="112"/>
      <c r="M133" s="484">
        <f t="shared" si="34"/>
        <v>0</v>
      </c>
      <c r="N133" s="112"/>
      <c r="O133" s="484">
        <f t="shared" si="35"/>
        <v>0</v>
      </c>
      <c r="P133" s="484">
        <f t="shared" si="36"/>
        <v>0</v>
      </c>
    </row>
    <row r="134" spans="2:16">
      <c r="B134" t="str">
        <f t="shared" si="16"/>
        <v/>
      </c>
      <c r="C134" s="479">
        <f>IF(D94="","-",+C133+1)</f>
        <v>2056</v>
      </c>
      <c r="D134" s="480">
        <f>IF(F133+SUM(E$100:E133)=D$93,F133,D$93-SUM(E$100:E133))</f>
        <v>0</v>
      </c>
      <c r="E134" s="377">
        <f t="shared" si="27"/>
        <v>0</v>
      </c>
      <c r="F134" s="481">
        <f t="shared" si="28"/>
        <v>0</v>
      </c>
      <c r="G134" s="481">
        <f t="shared" si="29"/>
        <v>0</v>
      </c>
      <c r="H134" s="459">
        <f t="shared" si="32"/>
        <v>0</v>
      </c>
      <c r="I134" s="446">
        <f t="shared" si="31"/>
        <v>0</v>
      </c>
      <c r="J134" s="484">
        <f t="shared" si="33"/>
        <v>0</v>
      </c>
      <c r="K134" s="484"/>
      <c r="L134" s="112"/>
      <c r="M134" s="484">
        <f t="shared" si="34"/>
        <v>0</v>
      </c>
      <c r="N134" s="112"/>
      <c r="O134" s="484">
        <f t="shared" si="35"/>
        <v>0</v>
      </c>
      <c r="P134" s="484">
        <f t="shared" si="36"/>
        <v>0</v>
      </c>
    </row>
    <row r="135" spans="2:16">
      <c r="B135" t="str">
        <f t="shared" si="16"/>
        <v/>
      </c>
      <c r="C135" s="479">
        <f>IF(D94="","-",+C134+1)</f>
        <v>2057</v>
      </c>
      <c r="D135" s="480">
        <f>IF(F134+SUM(E$100:E134)=D$93,F134,D$93-SUM(E$100:E134))</f>
        <v>0</v>
      </c>
      <c r="E135" s="377">
        <f t="shared" si="27"/>
        <v>0</v>
      </c>
      <c r="F135" s="481">
        <f t="shared" si="28"/>
        <v>0</v>
      </c>
      <c r="G135" s="481">
        <f t="shared" si="29"/>
        <v>0</v>
      </c>
      <c r="H135" s="459">
        <f t="shared" si="32"/>
        <v>0</v>
      </c>
      <c r="I135" s="446">
        <f t="shared" si="31"/>
        <v>0</v>
      </c>
      <c r="J135" s="484">
        <f t="shared" si="33"/>
        <v>0</v>
      </c>
      <c r="K135" s="484"/>
      <c r="L135" s="112"/>
      <c r="M135" s="484">
        <f t="shared" si="34"/>
        <v>0</v>
      </c>
      <c r="N135" s="112"/>
      <c r="O135" s="484">
        <f t="shared" si="35"/>
        <v>0</v>
      </c>
      <c r="P135" s="484">
        <f t="shared" si="36"/>
        <v>0</v>
      </c>
    </row>
    <row r="136" spans="2:16">
      <c r="B136" t="str">
        <f t="shared" si="16"/>
        <v/>
      </c>
      <c r="C136" s="479">
        <f>IF(D94="","-",+C135+1)</f>
        <v>2058</v>
      </c>
      <c r="D136" s="480">
        <f>IF(F135+SUM(E$100:E135)=D$93,F135,D$93-SUM(E$100:E135))</f>
        <v>0</v>
      </c>
      <c r="E136" s="377">
        <f t="shared" si="27"/>
        <v>0</v>
      </c>
      <c r="F136" s="481">
        <f t="shared" si="28"/>
        <v>0</v>
      </c>
      <c r="G136" s="481">
        <f t="shared" si="29"/>
        <v>0</v>
      </c>
      <c r="H136" s="459">
        <f t="shared" si="32"/>
        <v>0</v>
      </c>
      <c r="I136" s="446">
        <f t="shared" si="31"/>
        <v>0</v>
      </c>
      <c r="J136" s="484">
        <f t="shared" si="33"/>
        <v>0</v>
      </c>
      <c r="K136" s="484"/>
      <c r="L136" s="112"/>
      <c r="M136" s="484">
        <f t="shared" si="34"/>
        <v>0</v>
      </c>
      <c r="N136" s="112"/>
      <c r="O136" s="484">
        <f t="shared" si="35"/>
        <v>0</v>
      </c>
      <c r="P136" s="484">
        <f t="shared" si="36"/>
        <v>0</v>
      </c>
    </row>
    <row r="137" spans="2:16">
      <c r="B137" t="str">
        <f t="shared" si="16"/>
        <v/>
      </c>
      <c r="C137" s="479">
        <f>IF(D94="","-",+C136+1)</f>
        <v>2059</v>
      </c>
      <c r="D137" s="480">
        <f>IF(F136+SUM(E$100:E136)=D$93,F136,D$93-SUM(E$100:E136))</f>
        <v>0</v>
      </c>
      <c r="E137" s="377">
        <f t="shared" si="27"/>
        <v>0</v>
      </c>
      <c r="F137" s="481">
        <f t="shared" si="28"/>
        <v>0</v>
      </c>
      <c r="G137" s="481">
        <f t="shared" si="29"/>
        <v>0</v>
      </c>
      <c r="H137" s="459">
        <f t="shared" si="32"/>
        <v>0</v>
      </c>
      <c r="I137" s="446">
        <f t="shared" si="31"/>
        <v>0</v>
      </c>
      <c r="J137" s="484">
        <f t="shared" si="33"/>
        <v>0</v>
      </c>
      <c r="K137" s="484"/>
      <c r="L137" s="112"/>
      <c r="M137" s="484">
        <f t="shared" si="34"/>
        <v>0</v>
      </c>
      <c r="N137" s="112"/>
      <c r="O137" s="484">
        <f t="shared" si="35"/>
        <v>0</v>
      </c>
      <c r="P137" s="484">
        <f t="shared" si="36"/>
        <v>0</v>
      </c>
    </row>
    <row r="138" spans="2:16">
      <c r="B138" t="str">
        <f t="shared" si="16"/>
        <v/>
      </c>
      <c r="C138" s="479">
        <f>IF(D94="","-",+C137+1)</f>
        <v>2060</v>
      </c>
      <c r="D138" s="480">
        <f>IF(F137+SUM(E$100:E137)=D$93,F137,D$93-SUM(E$100:E137))</f>
        <v>0</v>
      </c>
      <c r="E138" s="377">
        <f t="shared" si="27"/>
        <v>0</v>
      </c>
      <c r="F138" s="481">
        <f t="shared" si="28"/>
        <v>0</v>
      </c>
      <c r="G138" s="481">
        <f t="shared" si="29"/>
        <v>0</v>
      </c>
      <c r="H138" s="459">
        <f t="shared" si="32"/>
        <v>0</v>
      </c>
      <c r="I138" s="446">
        <f t="shared" si="31"/>
        <v>0</v>
      </c>
      <c r="J138" s="484">
        <f t="shared" si="33"/>
        <v>0</v>
      </c>
      <c r="K138" s="484"/>
      <c r="L138" s="112"/>
      <c r="M138" s="484">
        <f t="shared" si="34"/>
        <v>0</v>
      </c>
      <c r="N138" s="112"/>
      <c r="O138" s="484">
        <f t="shared" si="35"/>
        <v>0</v>
      </c>
      <c r="P138" s="484">
        <f t="shared" si="36"/>
        <v>0</v>
      </c>
    </row>
    <row r="139" spans="2:16">
      <c r="B139" t="str">
        <f t="shared" si="16"/>
        <v/>
      </c>
      <c r="C139" s="479">
        <f>IF(D94="","-",+C138+1)</f>
        <v>2061</v>
      </c>
      <c r="D139" s="480">
        <f>IF(F138+SUM(E$100:E138)=D$93,F138,D$93-SUM(E$100:E138))</f>
        <v>0</v>
      </c>
      <c r="E139" s="377">
        <f t="shared" si="27"/>
        <v>0</v>
      </c>
      <c r="F139" s="481">
        <f t="shared" si="28"/>
        <v>0</v>
      </c>
      <c r="G139" s="481">
        <f t="shared" si="29"/>
        <v>0</v>
      </c>
      <c r="H139" s="459">
        <f t="shared" si="32"/>
        <v>0</v>
      </c>
      <c r="I139" s="446">
        <f t="shared" si="31"/>
        <v>0</v>
      </c>
      <c r="J139" s="484">
        <f t="shared" si="33"/>
        <v>0</v>
      </c>
      <c r="K139" s="484"/>
      <c r="L139" s="112"/>
      <c r="M139" s="484">
        <f t="shared" si="34"/>
        <v>0</v>
      </c>
      <c r="N139" s="112"/>
      <c r="O139" s="484">
        <f t="shared" si="35"/>
        <v>0</v>
      </c>
      <c r="P139" s="484">
        <f t="shared" si="36"/>
        <v>0</v>
      </c>
    </row>
    <row r="140" spans="2:16">
      <c r="B140" t="str">
        <f t="shared" si="16"/>
        <v/>
      </c>
      <c r="C140" s="479">
        <f>IF(D94="","-",+C139+1)</f>
        <v>2062</v>
      </c>
      <c r="D140" s="480">
        <f>IF(F139+SUM(E$100:E139)=D$93,F139,D$93-SUM(E$100:E139))</f>
        <v>0</v>
      </c>
      <c r="E140" s="377">
        <f t="shared" si="27"/>
        <v>0</v>
      </c>
      <c r="F140" s="481">
        <f t="shared" si="28"/>
        <v>0</v>
      </c>
      <c r="G140" s="481">
        <f t="shared" si="29"/>
        <v>0</v>
      </c>
      <c r="H140" s="459">
        <f t="shared" si="32"/>
        <v>0</v>
      </c>
      <c r="I140" s="446">
        <f t="shared" si="31"/>
        <v>0</v>
      </c>
      <c r="J140" s="484">
        <f t="shared" si="33"/>
        <v>0</v>
      </c>
      <c r="K140" s="484"/>
      <c r="L140" s="112"/>
      <c r="M140" s="484">
        <f t="shared" si="34"/>
        <v>0</v>
      </c>
      <c r="N140" s="112"/>
      <c r="O140" s="484">
        <f t="shared" si="35"/>
        <v>0</v>
      </c>
      <c r="P140" s="484">
        <f t="shared" si="36"/>
        <v>0</v>
      </c>
    </row>
    <row r="141" spans="2:16">
      <c r="B141" t="str">
        <f t="shared" si="16"/>
        <v/>
      </c>
      <c r="C141" s="479">
        <f>IF(D94="","-",+C140+1)</f>
        <v>2063</v>
      </c>
      <c r="D141" s="480">
        <f>IF(F140+SUM(E$100:E140)=D$93,F140,D$93-SUM(E$100:E140))</f>
        <v>0</v>
      </c>
      <c r="E141" s="377">
        <f t="shared" si="27"/>
        <v>0</v>
      </c>
      <c r="F141" s="481">
        <f t="shared" si="28"/>
        <v>0</v>
      </c>
      <c r="G141" s="481">
        <f t="shared" si="29"/>
        <v>0</v>
      </c>
      <c r="H141" s="459">
        <f t="shared" si="32"/>
        <v>0</v>
      </c>
      <c r="I141" s="446">
        <f t="shared" si="31"/>
        <v>0</v>
      </c>
      <c r="J141" s="484">
        <f t="shared" si="33"/>
        <v>0</v>
      </c>
      <c r="K141" s="484"/>
      <c r="L141" s="112"/>
      <c r="M141" s="484">
        <f t="shared" si="34"/>
        <v>0</v>
      </c>
      <c r="N141" s="112"/>
      <c r="O141" s="484">
        <f t="shared" si="35"/>
        <v>0</v>
      </c>
      <c r="P141" s="484">
        <f t="shared" si="36"/>
        <v>0</v>
      </c>
    </row>
    <row r="142" spans="2:16">
      <c r="B142" t="str">
        <f t="shared" si="16"/>
        <v/>
      </c>
      <c r="C142" s="479">
        <f>IF(D94="","-",+C141+1)</f>
        <v>2064</v>
      </c>
      <c r="D142" s="480">
        <f>IF(F141+SUM(E$100:E141)=D$93,F141,D$93-SUM(E$100:E141))</f>
        <v>0</v>
      </c>
      <c r="E142" s="377">
        <f t="shared" si="27"/>
        <v>0</v>
      </c>
      <c r="F142" s="481">
        <f t="shared" si="28"/>
        <v>0</v>
      </c>
      <c r="G142" s="481">
        <f t="shared" si="29"/>
        <v>0</v>
      </c>
      <c r="H142" s="459">
        <f t="shared" si="32"/>
        <v>0</v>
      </c>
      <c r="I142" s="446">
        <f t="shared" si="31"/>
        <v>0</v>
      </c>
      <c r="J142" s="484">
        <f t="shared" si="33"/>
        <v>0</v>
      </c>
      <c r="K142" s="484"/>
      <c r="L142" s="112"/>
      <c r="M142" s="484">
        <f t="shared" si="34"/>
        <v>0</v>
      </c>
      <c r="N142" s="112"/>
      <c r="O142" s="484">
        <f t="shared" si="35"/>
        <v>0</v>
      </c>
      <c r="P142" s="484">
        <f t="shared" si="36"/>
        <v>0</v>
      </c>
    </row>
    <row r="143" spans="2:16">
      <c r="B143" t="str">
        <f t="shared" si="16"/>
        <v/>
      </c>
      <c r="C143" s="479">
        <f>IF(D94="","-",+C142+1)</f>
        <v>2065</v>
      </c>
      <c r="D143" s="480">
        <f>IF(F142+SUM(E$100:E142)=D$93,F142,D$93-SUM(E$100:E142))</f>
        <v>0</v>
      </c>
      <c r="E143" s="377">
        <f t="shared" si="27"/>
        <v>0</v>
      </c>
      <c r="F143" s="481">
        <f t="shared" si="28"/>
        <v>0</v>
      </c>
      <c r="G143" s="481">
        <f t="shared" si="29"/>
        <v>0</v>
      </c>
      <c r="H143" s="459">
        <f t="shared" si="32"/>
        <v>0</v>
      </c>
      <c r="I143" s="446">
        <f t="shared" si="31"/>
        <v>0</v>
      </c>
      <c r="J143" s="484">
        <f t="shared" si="33"/>
        <v>0</v>
      </c>
      <c r="K143" s="484"/>
      <c r="L143" s="112"/>
      <c r="M143" s="484">
        <f t="shared" si="34"/>
        <v>0</v>
      </c>
      <c r="N143" s="112"/>
      <c r="O143" s="484">
        <f t="shared" si="35"/>
        <v>0</v>
      </c>
      <c r="P143" s="484">
        <f t="shared" si="36"/>
        <v>0</v>
      </c>
    </row>
    <row r="144" spans="2:16">
      <c r="B144" t="str">
        <f t="shared" si="16"/>
        <v/>
      </c>
      <c r="C144" s="479">
        <f>IF(D94="","-",+C143+1)</f>
        <v>2066</v>
      </c>
      <c r="D144" s="480">
        <f>IF(F143+SUM(E$100:E143)=D$93,F143,D$93-SUM(E$100:E143))</f>
        <v>0</v>
      </c>
      <c r="E144" s="377">
        <f t="shared" si="27"/>
        <v>0</v>
      </c>
      <c r="F144" s="481">
        <f t="shared" si="28"/>
        <v>0</v>
      </c>
      <c r="G144" s="481">
        <f t="shared" si="29"/>
        <v>0</v>
      </c>
      <c r="H144" s="459">
        <f t="shared" si="32"/>
        <v>0</v>
      </c>
      <c r="I144" s="446">
        <f t="shared" si="31"/>
        <v>0</v>
      </c>
      <c r="J144" s="484">
        <f t="shared" si="33"/>
        <v>0</v>
      </c>
      <c r="K144" s="484"/>
      <c r="L144" s="112"/>
      <c r="M144" s="484">
        <f t="shared" si="34"/>
        <v>0</v>
      </c>
      <c r="N144" s="112"/>
      <c r="O144" s="484">
        <f t="shared" si="35"/>
        <v>0</v>
      </c>
      <c r="P144" s="484">
        <f t="shared" si="36"/>
        <v>0</v>
      </c>
    </row>
    <row r="145" spans="2:16">
      <c r="B145" t="str">
        <f t="shared" si="16"/>
        <v/>
      </c>
      <c r="C145" s="479">
        <f>IF(D94="","-",+C144+1)</f>
        <v>2067</v>
      </c>
      <c r="D145" s="480">
        <f>IF(F144+SUM(E$100:E144)=D$93,F144,D$93-SUM(E$100:E144))</f>
        <v>0</v>
      </c>
      <c r="E145" s="377">
        <f t="shared" si="27"/>
        <v>0</v>
      </c>
      <c r="F145" s="481">
        <f t="shared" si="28"/>
        <v>0</v>
      </c>
      <c r="G145" s="481">
        <f t="shared" si="29"/>
        <v>0</v>
      </c>
      <c r="H145" s="459">
        <f t="shared" si="32"/>
        <v>0</v>
      </c>
      <c r="I145" s="446">
        <f t="shared" si="31"/>
        <v>0</v>
      </c>
      <c r="J145" s="484">
        <f t="shared" si="33"/>
        <v>0</v>
      </c>
      <c r="K145" s="484"/>
      <c r="L145" s="112"/>
      <c r="M145" s="484">
        <f t="shared" si="34"/>
        <v>0</v>
      </c>
      <c r="N145" s="112"/>
      <c r="O145" s="484">
        <f t="shared" si="35"/>
        <v>0</v>
      </c>
      <c r="P145" s="484">
        <f t="shared" si="36"/>
        <v>0</v>
      </c>
    </row>
    <row r="146" spans="2:16">
      <c r="B146" t="str">
        <f t="shared" si="16"/>
        <v/>
      </c>
      <c r="C146" s="479">
        <f>IF(D94="","-",+C145+1)</f>
        <v>2068</v>
      </c>
      <c r="D146" s="480">
        <f>IF(F145+SUM(E$100:E145)=D$93,F145,D$93-SUM(E$100:E145))</f>
        <v>0</v>
      </c>
      <c r="E146" s="377">
        <f t="shared" si="27"/>
        <v>0</v>
      </c>
      <c r="F146" s="481">
        <f t="shared" si="28"/>
        <v>0</v>
      </c>
      <c r="G146" s="481">
        <f t="shared" si="29"/>
        <v>0</v>
      </c>
      <c r="H146" s="459">
        <f t="shared" si="32"/>
        <v>0</v>
      </c>
      <c r="I146" s="446">
        <f t="shared" si="31"/>
        <v>0</v>
      </c>
      <c r="J146" s="484">
        <f t="shared" si="33"/>
        <v>0</v>
      </c>
      <c r="K146" s="484"/>
      <c r="L146" s="112"/>
      <c r="M146" s="484">
        <f t="shared" si="34"/>
        <v>0</v>
      </c>
      <c r="N146" s="112"/>
      <c r="O146" s="484">
        <f t="shared" si="35"/>
        <v>0</v>
      </c>
      <c r="P146" s="484">
        <f t="shared" si="36"/>
        <v>0</v>
      </c>
    </row>
    <row r="147" spans="2:16">
      <c r="B147" t="str">
        <f t="shared" si="16"/>
        <v/>
      </c>
      <c r="C147" s="479">
        <f>IF(D94="","-",+C146+1)</f>
        <v>2069</v>
      </c>
      <c r="D147" s="480">
        <f>IF(F146+SUM(E$100:E146)=D$93,F146,D$93-SUM(E$100:E146))</f>
        <v>0</v>
      </c>
      <c r="E147" s="377">
        <f t="shared" si="27"/>
        <v>0</v>
      </c>
      <c r="F147" s="481">
        <f t="shared" si="28"/>
        <v>0</v>
      </c>
      <c r="G147" s="481">
        <f t="shared" si="29"/>
        <v>0</v>
      </c>
      <c r="H147" s="459">
        <f t="shared" si="32"/>
        <v>0</v>
      </c>
      <c r="I147" s="446">
        <f t="shared" si="31"/>
        <v>0</v>
      </c>
      <c r="J147" s="484">
        <f t="shared" si="33"/>
        <v>0</v>
      </c>
      <c r="K147" s="484"/>
      <c r="L147" s="112"/>
      <c r="M147" s="484">
        <f t="shared" si="34"/>
        <v>0</v>
      </c>
      <c r="N147" s="112"/>
      <c r="O147" s="484">
        <f t="shared" si="35"/>
        <v>0</v>
      </c>
      <c r="P147" s="484">
        <f t="shared" si="36"/>
        <v>0</v>
      </c>
    </row>
    <row r="148" spans="2:16">
      <c r="B148" t="str">
        <f t="shared" si="16"/>
        <v/>
      </c>
      <c r="C148" s="479">
        <f>IF(D94="","-",+C147+1)</f>
        <v>2070</v>
      </c>
      <c r="D148" s="480">
        <f>IF(F147+SUM(E$100:E147)=D$93,F147,D$93-SUM(E$100:E147))</f>
        <v>0</v>
      </c>
      <c r="E148" s="377">
        <f t="shared" si="27"/>
        <v>0</v>
      </c>
      <c r="F148" s="481">
        <f t="shared" si="28"/>
        <v>0</v>
      </c>
      <c r="G148" s="481">
        <f t="shared" si="29"/>
        <v>0</v>
      </c>
      <c r="H148" s="459">
        <f t="shared" si="32"/>
        <v>0</v>
      </c>
      <c r="I148" s="446">
        <f t="shared" si="31"/>
        <v>0</v>
      </c>
      <c r="J148" s="484">
        <f t="shared" si="33"/>
        <v>0</v>
      </c>
      <c r="K148" s="484"/>
      <c r="L148" s="112"/>
      <c r="M148" s="484">
        <f t="shared" si="34"/>
        <v>0</v>
      </c>
      <c r="N148" s="112"/>
      <c r="O148" s="484">
        <f t="shared" si="35"/>
        <v>0</v>
      </c>
      <c r="P148" s="484">
        <f t="shared" si="36"/>
        <v>0</v>
      </c>
    </row>
    <row r="149" spans="2:16">
      <c r="B149" t="str">
        <f t="shared" si="16"/>
        <v/>
      </c>
      <c r="C149" s="479">
        <f>IF(D94="","-",+C148+1)</f>
        <v>2071</v>
      </c>
      <c r="D149" s="480">
        <f>IF(F148+SUM(E$100:E148)=D$93,F148,D$93-SUM(E$100:E148))</f>
        <v>0</v>
      </c>
      <c r="E149" s="377">
        <f t="shared" si="27"/>
        <v>0</v>
      </c>
      <c r="F149" s="481">
        <f t="shared" si="28"/>
        <v>0</v>
      </c>
      <c r="G149" s="481">
        <f t="shared" si="29"/>
        <v>0</v>
      </c>
      <c r="H149" s="459">
        <f t="shared" si="32"/>
        <v>0</v>
      </c>
      <c r="I149" s="446">
        <f t="shared" si="31"/>
        <v>0</v>
      </c>
      <c r="J149" s="484">
        <f t="shared" si="33"/>
        <v>0</v>
      </c>
      <c r="K149" s="484"/>
      <c r="L149" s="112"/>
      <c r="M149" s="484">
        <f t="shared" si="34"/>
        <v>0</v>
      </c>
      <c r="N149" s="112"/>
      <c r="O149" s="484">
        <f t="shared" si="35"/>
        <v>0</v>
      </c>
      <c r="P149" s="484">
        <f t="shared" si="36"/>
        <v>0</v>
      </c>
    </row>
    <row r="150" spans="2:16">
      <c r="B150" t="str">
        <f t="shared" si="16"/>
        <v/>
      </c>
      <c r="C150" s="479">
        <f>IF(D94="","-",+C149+1)</f>
        <v>2072</v>
      </c>
      <c r="D150" s="480">
        <f>IF(F149+SUM(E$100:E149)=D$93,F149,D$93-SUM(E$100:E149))</f>
        <v>0</v>
      </c>
      <c r="E150" s="377">
        <f t="shared" si="27"/>
        <v>0</v>
      </c>
      <c r="F150" s="481">
        <f t="shared" si="28"/>
        <v>0</v>
      </c>
      <c r="G150" s="481">
        <f t="shared" si="29"/>
        <v>0</v>
      </c>
      <c r="H150" s="459">
        <f t="shared" si="32"/>
        <v>0</v>
      </c>
      <c r="I150" s="446">
        <f t="shared" si="31"/>
        <v>0</v>
      </c>
      <c r="J150" s="484">
        <f t="shared" si="33"/>
        <v>0</v>
      </c>
      <c r="K150" s="484"/>
      <c r="L150" s="112"/>
      <c r="M150" s="484">
        <f t="shared" si="34"/>
        <v>0</v>
      </c>
      <c r="N150" s="112"/>
      <c r="O150" s="484">
        <f t="shared" si="35"/>
        <v>0</v>
      </c>
      <c r="P150" s="484">
        <f t="shared" si="36"/>
        <v>0</v>
      </c>
    </row>
    <row r="151" spans="2:16">
      <c r="B151" t="str">
        <f t="shared" si="16"/>
        <v/>
      </c>
      <c r="C151" s="479">
        <f>IF(D94="","-",+C150+1)</f>
        <v>2073</v>
      </c>
      <c r="D151" s="480">
        <f>IF(F150+SUM(E$100:E150)=D$93,F150,D$93-SUM(E$100:E150))</f>
        <v>0</v>
      </c>
      <c r="E151" s="377">
        <f t="shared" si="27"/>
        <v>0</v>
      </c>
      <c r="F151" s="481">
        <f t="shared" si="28"/>
        <v>0</v>
      </c>
      <c r="G151" s="481">
        <f t="shared" si="29"/>
        <v>0</v>
      </c>
      <c r="H151" s="459">
        <f t="shared" si="32"/>
        <v>0</v>
      </c>
      <c r="I151" s="446">
        <f t="shared" si="31"/>
        <v>0</v>
      </c>
      <c r="J151" s="484">
        <f t="shared" si="33"/>
        <v>0</v>
      </c>
      <c r="K151" s="484"/>
      <c r="L151" s="112"/>
      <c r="M151" s="484">
        <f t="shared" si="34"/>
        <v>0</v>
      </c>
      <c r="N151" s="112"/>
      <c r="O151" s="484">
        <f t="shared" si="35"/>
        <v>0</v>
      </c>
      <c r="P151" s="484">
        <f t="shared" si="36"/>
        <v>0</v>
      </c>
    </row>
    <row r="152" spans="2:16">
      <c r="B152" t="str">
        <f t="shared" si="16"/>
        <v/>
      </c>
      <c r="C152" s="479">
        <f>IF(D94="","-",+C151+1)</f>
        <v>2074</v>
      </c>
      <c r="D152" s="480">
        <f>IF(F151+SUM(E$100:E151)=D$93,F151,D$93-SUM(E$100:E151))</f>
        <v>0</v>
      </c>
      <c r="E152" s="377">
        <f t="shared" si="27"/>
        <v>0</v>
      </c>
      <c r="F152" s="481">
        <f t="shared" si="28"/>
        <v>0</v>
      </c>
      <c r="G152" s="481">
        <f t="shared" si="29"/>
        <v>0</v>
      </c>
      <c r="H152" s="459">
        <f t="shared" si="32"/>
        <v>0</v>
      </c>
      <c r="I152" s="446">
        <f t="shared" si="31"/>
        <v>0</v>
      </c>
      <c r="J152" s="484">
        <f t="shared" si="33"/>
        <v>0</v>
      </c>
      <c r="K152" s="484"/>
      <c r="L152" s="112"/>
      <c r="M152" s="484">
        <f t="shared" si="34"/>
        <v>0</v>
      </c>
      <c r="N152" s="112"/>
      <c r="O152" s="484">
        <f t="shared" si="35"/>
        <v>0</v>
      </c>
      <c r="P152" s="484">
        <f t="shared" si="36"/>
        <v>0</v>
      </c>
    </row>
    <row r="153" spans="2:16">
      <c r="B153" t="str">
        <f t="shared" si="16"/>
        <v/>
      </c>
      <c r="C153" s="479">
        <f>IF(D94="","-",+C152+1)</f>
        <v>2075</v>
      </c>
      <c r="D153" s="480">
        <f>IF(F152+SUM(E$100:E152)=D$93,F152,D$93-SUM(E$100:E152))</f>
        <v>0</v>
      </c>
      <c r="E153" s="377">
        <f t="shared" si="27"/>
        <v>0</v>
      </c>
      <c r="F153" s="481">
        <f t="shared" si="28"/>
        <v>0</v>
      </c>
      <c r="G153" s="481">
        <f t="shared" si="29"/>
        <v>0</v>
      </c>
      <c r="H153" s="459">
        <f t="shared" si="32"/>
        <v>0</v>
      </c>
      <c r="I153" s="446">
        <f t="shared" si="31"/>
        <v>0</v>
      </c>
      <c r="J153" s="484">
        <f t="shared" si="33"/>
        <v>0</v>
      </c>
      <c r="K153" s="484"/>
      <c r="L153" s="112"/>
      <c r="M153" s="484">
        <f t="shared" si="34"/>
        <v>0</v>
      </c>
      <c r="N153" s="112"/>
      <c r="O153" s="484">
        <f t="shared" si="35"/>
        <v>0</v>
      </c>
      <c r="P153" s="484">
        <f t="shared" si="36"/>
        <v>0</v>
      </c>
    </row>
    <row r="154" spans="2:16">
      <c r="B154" t="str">
        <f t="shared" si="16"/>
        <v/>
      </c>
      <c r="C154" s="479">
        <f>IF(D94="","-",+C153+1)</f>
        <v>2076</v>
      </c>
      <c r="D154" s="480">
        <f>IF(F153+SUM(E$100:E153)=D$93,F153,D$93-SUM(E$100:E153))</f>
        <v>0</v>
      </c>
      <c r="E154" s="377">
        <f t="shared" si="27"/>
        <v>0</v>
      </c>
      <c r="F154" s="481">
        <f t="shared" si="28"/>
        <v>0</v>
      </c>
      <c r="G154" s="481">
        <f t="shared" si="29"/>
        <v>0</v>
      </c>
      <c r="H154" s="459">
        <f t="shared" si="32"/>
        <v>0</v>
      </c>
      <c r="I154" s="446">
        <f t="shared" si="31"/>
        <v>0</v>
      </c>
      <c r="J154" s="484">
        <f t="shared" si="33"/>
        <v>0</v>
      </c>
      <c r="K154" s="484"/>
      <c r="L154" s="112"/>
      <c r="M154" s="484">
        <f t="shared" si="34"/>
        <v>0</v>
      </c>
      <c r="N154" s="112"/>
      <c r="O154" s="484">
        <f t="shared" si="35"/>
        <v>0</v>
      </c>
      <c r="P154" s="484">
        <f t="shared" si="36"/>
        <v>0</v>
      </c>
    </row>
    <row r="155" spans="2:16" ht="13.5" thickBot="1">
      <c r="B155" t="str">
        <f t="shared" si="16"/>
        <v/>
      </c>
      <c r="C155" s="487">
        <f>IF(D94="","-",+C154+1)</f>
        <v>2077</v>
      </c>
      <c r="D155" s="509">
        <f>IF(F154+SUM(E$100:E154)=D$93,F154,D$93-SUM(E$100:E154))</f>
        <v>0</v>
      </c>
      <c r="E155" s="389">
        <f t="shared" si="27"/>
        <v>0</v>
      </c>
      <c r="F155" s="488">
        <f t="shared" si="28"/>
        <v>0</v>
      </c>
      <c r="G155" s="488">
        <f t="shared" si="29"/>
        <v>0</v>
      </c>
      <c r="H155" s="459">
        <f t="shared" si="32"/>
        <v>0</v>
      </c>
      <c r="I155" s="443">
        <f t="shared" si="31"/>
        <v>0</v>
      </c>
      <c r="J155" s="491">
        <f t="shared" si="33"/>
        <v>0</v>
      </c>
      <c r="K155" s="484"/>
      <c r="L155" s="113"/>
      <c r="M155" s="491">
        <f t="shared" si="34"/>
        <v>0</v>
      </c>
      <c r="N155" s="113"/>
      <c r="O155" s="491">
        <f t="shared" si="35"/>
        <v>0</v>
      </c>
      <c r="P155" s="491">
        <f t="shared" si="36"/>
        <v>0</v>
      </c>
    </row>
    <row r="156" spans="2:16">
      <c r="C156" s="480" t="s">
        <v>75</v>
      </c>
      <c r="D156" s="468"/>
      <c r="E156" s="468">
        <f>SUM(E100:E155)</f>
        <v>6667707.9799999995</v>
      </c>
      <c r="F156" s="468"/>
      <c r="G156" s="468"/>
      <c r="H156" s="468">
        <f>SUM(H100:H155)</f>
        <v>14956910.872164896</v>
      </c>
      <c r="I156" s="468">
        <f>SUM(I100:I155)</f>
        <v>14956910.872164896</v>
      </c>
      <c r="J156" s="468">
        <f>SUM(J100:J155)</f>
        <v>0</v>
      </c>
      <c r="K156" s="468"/>
      <c r="L156" s="468"/>
      <c r="M156" s="468"/>
      <c r="N156" s="468"/>
      <c r="O156" s="468"/>
      <c r="P156" s="465"/>
    </row>
    <row r="157" spans="2:16">
      <c r="C157" t="s">
        <v>90</v>
      </c>
      <c r="D157" s="466"/>
      <c r="E157" s="465"/>
      <c r="F157" s="465"/>
      <c r="G157" s="465"/>
      <c r="H157" s="465"/>
      <c r="I157" s="467"/>
      <c r="J157" s="467"/>
      <c r="K157" s="468"/>
      <c r="L157" s="467"/>
      <c r="M157" s="467"/>
      <c r="N157" s="467"/>
      <c r="O157" s="467"/>
      <c r="P157" s="465"/>
    </row>
    <row r="158" spans="2:16">
      <c r="C158" s="83"/>
      <c r="D158" s="466"/>
      <c r="E158" s="465"/>
      <c r="F158" s="465"/>
      <c r="G158" s="465"/>
      <c r="H158" s="465"/>
      <c r="I158" s="467"/>
      <c r="J158" s="467"/>
      <c r="K158" s="468"/>
      <c r="L158" s="467"/>
      <c r="M158" s="467"/>
      <c r="N158" s="467"/>
      <c r="O158" s="467"/>
      <c r="P158" s="465"/>
    </row>
    <row r="159" spans="2:16">
      <c r="C159" s="97" t="s">
        <v>130</v>
      </c>
      <c r="D159" s="466"/>
      <c r="E159" s="465"/>
      <c r="F159" s="465"/>
      <c r="G159" s="465"/>
      <c r="H159" s="465"/>
      <c r="I159" s="467"/>
      <c r="J159" s="467"/>
      <c r="K159" s="468"/>
      <c r="L159" s="467"/>
      <c r="M159" s="467"/>
      <c r="N159" s="467"/>
      <c r="O159" s="467"/>
      <c r="P159" s="465"/>
    </row>
    <row r="160" spans="2:16">
      <c r="C160" s="25" t="s">
        <v>76</v>
      </c>
      <c r="D160" s="480"/>
      <c r="E160" s="480"/>
      <c r="F160" s="480"/>
      <c r="G160" s="480"/>
      <c r="H160" s="468"/>
      <c r="I160" s="468"/>
      <c r="J160" s="492"/>
      <c r="K160" s="492"/>
      <c r="L160" s="492"/>
      <c r="M160" s="492"/>
      <c r="N160" s="492"/>
      <c r="O160" s="492"/>
      <c r="P160" s="465"/>
    </row>
    <row r="161" spans="3:16">
      <c r="C161" s="84" t="s">
        <v>77</v>
      </c>
      <c r="D161" s="480"/>
      <c r="E161" s="480"/>
      <c r="F161" s="480"/>
      <c r="G161" s="480"/>
      <c r="H161" s="468"/>
      <c r="I161" s="468"/>
      <c r="J161" s="492"/>
      <c r="K161" s="492"/>
      <c r="L161" s="492"/>
      <c r="M161" s="492"/>
      <c r="N161" s="492"/>
      <c r="O161" s="492"/>
      <c r="P161" s="465"/>
    </row>
    <row r="162" spans="3:16">
      <c r="C162" s="84"/>
      <c r="D162" s="480"/>
      <c r="E162" s="480"/>
      <c r="F162" s="480"/>
      <c r="G162" s="480"/>
      <c r="H162" s="468"/>
      <c r="I162" s="468"/>
      <c r="J162" s="492"/>
      <c r="K162" s="492"/>
      <c r="L162" s="492"/>
      <c r="M162" s="492"/>
      <c r="N162" s="492"/>
      <c r="O162" s="492"/>
      <c r="P162" s="465"/>
    </row>
    <row r="163" spans="3:16" ht="18">
      <c r="C163" s="84"/>
      <c r="D163" s="480"/>
      <c r="E163" s="480"/>
      <c r="F163" s="480"/>
      <c r="G163" s="480"/>
      <c r="H163" s="468"/>
      <c r="I163" s="468"/>
      <c r="J163" s="492"/>
      <c r="K163" s="492"/>
      <c r="L163" s="492"/>
      <c r="M163" s="492"/>
      <c r="N163" s="492"/>
      <c r="P163" s="95" t="s">
        <v>129</v>
      </c>
    </row>
  </sheetData>
  <conditionalFormatting sqref="C17:C73">
    <cfRule type="cellIs" dxfId="11" priority="1" stopIfTrue="1" operator="equal">
      <formula>$I$10</formula>
    </cfRule>
  </conditionalFormatting>
  <conditionalFormatting sqref="C100:C155">
    <cfRule type="cellIs" dxfId="10" priority="3" stopIfTrue="1" operator="equal">
      <formula>$J$93</formula>
    </cfRule>
  </conditionalFormatting>
  <pageMargins left="0.5" right="0.25" top="1" bottom="0.35" header="0.25" footer="0.5"/>
  <pageSetup scale="47" orientation="landscape"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08B91-83A8-4F7C-94C4-0C987CE5112E}">
  <dimension ref="A1:P163"/>
  <sheetViews>
    <sheetView topLeftCell="B1" zoomScale="80" zoomScaleNormal="80" workbookViewId="0">
      <selection activeCell="D14" sqref="D14"/>
    </sheetView>
  </sheetViews>
  <sheetFormatPr defaultRowHeight="12.75"/>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s>
  <sheetData>
    <row r="1" spans="1:16" ht="20.25">
      <c r="A1" s="93" t="s">
        <v>189</v>
      </c>
      <c r="B1" s="465"/>
      <c r="C1" s="465"/>
      <c r="D1" s="466"/>
      <c r="E1" s="465"/>
      <c r="F1" s="280"/>
      <c r="G1" s="465"/>
      <c r="H1" s="467"/>
      <c r="K1" s="12"/>
      <c r="L1" s="12"/>
      <c r="M1" s="12"/>
      <c r="P1" s="98" t="str">
        <f ca="1">"OKT Project "&amp;RIGHT(MID(CELL("filename",$A$1),FIND("]",CELL("filename",$A$1))+1,256),2)&amp;" of "&amp;COUNT('OKT.001:OKT.xyz - blank'!$P$3)-1</f>
        <v>OKT Project 23 of 26</v>
      </c>
    </row>
    <row r="2" spans="1:16" ht="18">
      <c r="B2" s="465"/>
      <c r="C2" s="465"/>
      <c r="D2" s="466"/>
      <c r="E2" s="465"/>
      <c r="F2" s="465"/>
      <c r="G2" s="465"/>
      <c r="H2" s="467"/>
      <c r="I2" s="465"/>
      <c r="J2" s="465"/>
      <c r="K2" s="465"/>
      <c r="L2" s="465"/>
      <c r="M2" s="465"/>
      <c r="N2" s="465"/>
      <c r="P2" s="99" t="s">
        <v>131</v>
      </c>
    </row>
    <row r="3" spans="1:16" ht="18.75">
      <c r="B3" s="4" t="s">
        <v>42</v>
      </c>
      <c r="C3" s="9" t="s">
        <v>43</v>
      </c>
      <c r="D3" s="466"/>
      <c r="E3" s="465"/>
      <c r="F3" s="465"/>
      <c r="G3" s="465"/>
      <c r="H3" s="467"/>
      <c r="I3" s="467"/>
      <c r="J3" s="468"/>
      <c r="K3" s="467"/>
      <c r="L3" s="467"/>
      <c r="M3" s="467"/>
      <c r="N3" s="467"/>
      <c r="O3" s="465"/>
      <c r="P3" s="91">
        <v>1</v>
      </c>
    </row>
    <row r="4" spans="1:16" ht="15.75" thickBot="1">
      <c r="C4" s="8"/>
      <c r="D4" s="466"/>
      <c r="E4" s="465"/>
      <c r="F4" s="465"/>
      <c r="G4" s="465"/>
      <c r="H4" s="467"/>
      <c r="I4" s="467"/>
      <c r="J4" s="468"/>
      <c r="K4" s="467"/>
      <c r="L4" s="467"/>
      <c r="M4" s="467"/>
      <c r="N4" s="467"/>
      <c r="O4" s="465"/>
      <c r="P4" s="465"/>
    </row>
    <row r="5" spans="1:16" ht="15">
      <c r="C5" s="14" t="s">
        <v>44</v>
      </c>
      <c r="D5" s="466"/>
      <c r="E5" s="465"/>
      <c r="F5" s="465"/>
      <c r="G5" s="15"/>
      <c r="H5" s="465" t="s">
        <v>45</v>
      </c>
      <c r="I5" s="465"/>
      <c r="J5" s="465"/>
      <c r="K5" s="16" t="s">
        <v>242</v>
      </c>
      <c r="L5" s="17"/>
      <c r="M5" s="469"/>
      <c r="N5" s="19">
        <f>VLOOKUP(I10,C17:I73,5)</f>
        <v>1128397.597246838</v>
      </c>
      <c r="P5" s="465"/>
    </row>
    <row r="6" spans="1:16" ht="15.75">
      <c r="C6" s="6"/>
      <c r="D6" s="466"/>
      <c r="E6" s="465"/>
      <c r="F6" s="465"/>
      <c r="G6" s="465"/>
      <c r="H6" s="20"/>
      <c r="I6" s="20"/>
      <c r="J6" s="21"/>
      <c r="K6" s="22" t="s">
        <v>243</v>
      </c>
      <c r="L6" s="23"/>
      <c r="M6" s="465"/>
      <c r="N6" s="24">
        <f>VLOOKUP(I10,C17:I73,6)</f>
        <v>1128397.597246838</v>
      </c>
      <c r="O6" s="465"/>
      <c r="P6" s="465"/>
    </row>
    <row r="7" spans="1:16" ht="13.5" thickBot="1">
      <c r="C7" s="25" t="s">
        <v>46</v>
      </c>
      <c r="D7" s="87" t="s">
        <v>306</v>
      </c>
      <c r="E7" s="465"/>
      <c r="F7" s="465"/>
      <c r="G7" s="465"/>
      <c r="H7" s="467"/>
      <c r="I7" s="467"/>
      <c r="J7" s="468"/>
      <c r="K7" s="26" t="s">
        <v>47</v>
      </c>
      <c r="L7" s="470"/>
      <c r="M7" s="470"/>
      <c r="N7" s="471">
        <f>+N6-N5</f>
        <v>0</v>
      </c>
      <c r="O7" s="465"/>
      <c r="P7" s="465"/>
    </row>
    <row r="8" spans="1:16" ht="13.5" thickBot="1">
      <c r="C8" s="29"/>
      <c r="D8" s="83"/>
      <c r="E8" s="472"/>
      <c r="F8" s="472"/>
      <c r="G8" s="472"/>
      <c r="H8" s="472"/>
      <c r="I8" s="472"/>
      <c r="J8" s="472"/>
      <c r="K8" s="472"/>
      <c r="L8" s="472"/>
      <c r="M8" s="472"/>
      <c r="N8" s="472"/>
      <c r="O8" s="472"/>
      <c r="P8" s="465"/>
    </row>
    <row r="9" spans="1:16" ht="13.5" thickBot="1">
      <c r="C9" s="30" t="s">
        <v>48</v>
      </c>
      <c r="D9" s="89" t="s">
        <v>314</v>
      </c>
      <c r="E9" s="473" t="s">
        <v>299</v>
      </c>
      <c r="F9" s="31">
        <v>81717</v>
      </c>
      <c r="G9" s="31"/>
      <c r="H9" s="31"/>
      <c r="I9" s="32"/>
      <c r="J9" s="33"/>
      <c r="P9" s="465"/>
    </row>
    <row r="10" spans="1:16">
      <c r="C10" s="474" t="s">
        <v>49</v>
      </c>
      <c r="D10" s="35">
        <v>7893080</v>
      </c>
      <c r="E10" s="465" t="s">
        <v>50</v>
      </c>
      <c r="G10" s="466"/>
      <c r="H10" s="466"/>
      <c r="I10" s="36">
        <v>2025</v>
      </c>
      <c r="J10" s="33"/>
      <c r="K10" s="468" t="s">
        <v>51</v>
      </c>
      <c r="O10" s="465"/>
      <c r="P10" s="465"/>
    </row>
    <row r="11" spans="1:16">
      <c r="C11" s="474" t="s">
        <v>52</v>
      </c>
      <c r="D11" s="37">
        <v>2024</v>
      </c>
      <c r="E11" s="474" t="s">
        <v>53</v>
      </c>
      <c r="F11" s="466"/>
      <c r="I11" s="475">
        <v>0</v>
      </c>
      <c r="J11" s="476"/>
      <c r="K11" t="str">
        <f>"          INPUT PROJECTED ARR (WITH &amp; WITHOUT INCENTIVES) FROM EACH PRIOR YEAR"</f>
        <v xml:space="preserve">          INPUT PROJECTED ARR (WITH &amp; WITHOUT INCENTIVES) FROM EACH PRIOR YEAR</v>
      </c>
      <c r="O11" s="465"/>
      <c r="P11" s="465"/>
    </row>
    <row r="12" spans="1:16">
      <c r="C12" s="474" t="s">
        <v>54</v>
      </c>
      <c r="D12" s="35">
        <v>10</v>
      </c>
      <c r="E12" s="474" t="s">
        <v>55</v>
      </c>
      <c r="F12" s="466"/>
      <c r="I12" s="477">
        <v>0.11475877389767174</v>
      </c>
      <c r="J12" s="280"/>
      <c r="K12" t="s">
        <v>56</v>
      </c>
      <c r="O12" s="465"/>
      <c r="P12" s="465"/>
    </row>
    <row r="13" spans="1:16">
      <c r="C13" s="474" t="s">
        <v>57</v>
      </c>
      <c r="D13" s="475">
        <v>30</v>
      </c>
      <c r="E13" s="474" t="s">
        <v>58</v>
      </c>
      <c r="F13" s="466"/>
      <c r="I13" s="477">
        <v>0.11475877389767174</v>
      </c>
      <c r="J13" s="280"/>
      <c r="K13" s="468" t="s">
        <v>59</v>
      </c>
      <c r="L13" s="280"/>
      <c r="M13" s="280"/>
      <c r="N13" s="280"/>
      <c r="O13" s="465"/>
      <c r="P13" s="465"/>
    </row>
    <row r="14" spans="1:16" ht="13.5" thickBot="1">
      <c r="C14" s="474" t="s">
        <v>60</v>
      </c>
      <c r="D14" s="37" t="s">
        <v>61</v>
      </c>
      <c r="E14" s="465" t="s">
        <v>62</v>
      </c>
      <c r="F14" s="466"/>
      <c r="I14" s="478">
        <f>IF(D10=0,0,D10/D13)</f>
        <v>263102.66666666669</v>
      </c>
      <c r="J14" s="468"/>
      <c r="K14" s="468"/>
      <c r="L14" s="468"/>
      <c r="M14" s="468"/>
      <c r="N14" s="468"/>
      <c r="O14" s="465"/>
      <c r="P14" s="465"/>
    </row>
    <row r="15" spans="1:16" ht="38.25">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465"/>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465"/>
    </row>
    <row r="17" spans="2:16" ht="13.5" thickBot="1">
      <c r="B17" t="str">
        <f t="shared" ref="B17:B71" si="0">IF(D17=F16,"","IU")</f>
        <v>IU</v>
      </c>
      <c r="C17" s="479">
        <f>IF(D11= "","-",D11)</f>
        <v>2024</v>
      </c>
      <c r="D17" s="112">
        <v>0</v>
      </c>
      <c r="E17" s="112">
        <v>201061.92204301074</v>
      </c>
      <c r="F17" s="112">
        <v>10483943.077956989</v>
      </c>
      <c r="G17" s="112">
        <v>798288.30041797447</v>
      </c>
      <c r="H17" s="112">
        <v>798288.30041797447</v>
      </c>
      <c r="I17" s="482">
        <v>0</v>
      </c>
      <c r="J17" s="482"/>
      <c r="K17" s="114">
        <f>+G17</f>
        <v>798288.30041797447</v>
      </c>
      <c r="L17" s="52">
        <f t="shared" ref="L17" si="1">IF(K17&lt;&gt;0,+G17-K17,0)</f>
        <v>0</v>
      </c>
      <c r="M17" s="114">
        <f>+H17</f>
        <v>798288.30041797447</v>
      </c>
      <c r="N17" s="483">
        <f t="shared" ref="N17" si="2">IF(M17&lt;&gt;0,+H17-M17,0)</f>
        <v>0</v>
      </c>
      <c r="O17" s="484">
        <f t="shared" ref="O17" si="3">+N17-L17</f>
        <v>0</v>
      </c>
      <c r="P17" s="465"/>
    </row>
    <row r="18" spans="2:16">
      <c r="B18" t="str">
        <f t="shared" si="0"/>
        <v>IU</v>
      </c>
      <c r="C18" s="479">
        <f>IF(D11="","-",+C17+1)</f>
        <v>2025</v>
      </c>
      <c r="D18" s="112">
        <v>7692018.4929470439</v>
      </c>
      <c r="E18" s="112">
        <v>263102.68049966847</v>
      </c>
      <c r="F18" s="112">
        <v>7428915.8124473756</v>
      </c>
      <c r="G18" s="112">
        <v>1128397.597246838</v>
      </c>
      <c r="H18" s="112">
        <v>1128397.597246838</v>
      </c>
      <c r="I18" s="482">
        <f t="shared" ref="I18:I71" si="4">H18-G18</f>
        <v>0</v>
      </c>
      <c r="J18" s="482"/>
      <c r="K18" s="114">
        <f>+G18</f>
        <v>1128397.597246838</v>
      </c>
      <c r="L18" s="52">
        <f t="shared" ref="L18" si="5">IF(K18&lt;&gt;0,+G18-K18,0)</f>
        <v>0</v>
      </c>
      <c r="M18" s="114">
        <f>+H18</f>
        <v>1128397.597246838</v>
      </c>
      <c r="N18" s="483">
        <f t="shared" ref="N18" si="6">IF(M18&lt;&gt;0,+H18-M18,0)</f>
        <v>0</v>
      </c>
      <c r="O18" s="484">
        <f t="shared" ref="O18" si="7">+N18-L18</f>
        <v>0</v>
      </c>
      <c r="P18" s="465"/>
    </row>
    <row r="19" spans="2:16">
      <c r="B19" t="str">
        <f t="shared" si="0"/>
        <v>IU</v>
      </c>
      <c r="C19" s="479">
        <f>IF(D11="","-",+C18+1)</f>
        <v>2026</v>
      </c>
      <c r="D19" s="481">
        <f>IF(F18+SUM(E$17:E18)=D$10,F18,D$10-SUM(E$17:E18))</f>
        <v>7428915.3974573212</v>
      </c>
      <c r="E19" s="55">
        <f t="shared" ref="E19:E71" si="8">IF(+I$14&lt;F18,I$14,D19)</f>
        <v>263102.66666666669</v>
      </c>
      <c r="F19" s="481">
        <f t="shared" ref="F19:F71" si="9">+D19-E19</f>
        <v>7165812.7307906542</v>
      </c>
      <c r="G19" s="485">
        <f t="shared" ref="G19:G71" si="10">(D19+F19)/2*I$12+E19</f>
        <v>1100539.2193504663</v>
      </c>
      <c r="H19" s="478">
        <f t="shared" ref="H19:H71" si="11">+(D19+F19)/2*I$13+E19</f>
        <v>1100539.2193504663</v>
      </c>
      <c r="I19" s="482">
        <f t="shared" si="4"/>
        <v>0</v>
      </c>
      <c r="J19" s="482"/>
      <c r="K19" s="112"/>
      <c r="L19" s="484">
        <f t="shared" ref="L19:L71" si="12">IF(K19&lt;&gt;0,+G19-K19,0)</f>
        <v>0</v>
      </c>
      <c r="M19" s="112"/>
      <c r="N19" s="484">
        <f t="shared" ref="N19:N71" si="13">IF(M19&lt;&gt;0,+H19-M19,0)</f>
        <v>0</v>
      </c>
      <c r="O19" s="484">
        <f t="shared" ref="O19:O71" si="14">+N19-L19</f>
        <v>0</v>
      </c>
      <c r="P19" s="465"/>
    </row>
    <row r="20" spans="2:16">
      <c r="B20" t="str">
        <f t="shared" si="0"/>
        <v/>
      </c>
      <c r="C20" s="479">
        <f>IF(D11="","-",+C19+1)</f>
        <v>2027</v>
      </c>
      <c r="D20" s="481">
        <f>IF(F19+SUM(E$17:E19)=D$10,F19,D$10-SUM(E$17:E19))</f>
        <v>7165812.7307906542</v>
      </c>
      <c r="E20" s="55">
        <f t="shared" si="8"/>
        <v>263102.66666666669</v>
      </c>
      <c r="F20" s="481">
        <f t="shared" si="9"/>
        <v>6902710.0641239872</v>
      </c>
      <c r="G20" s="485">
        <f t="shared" si="10"/>
        <v>1070345.8799145918</v>
      </c>
      <c r="H20" s="478">
        <f t="shared" si="11"/>
        <v>1070345.8799145918</v>
      </c>
      <c r="I20" s="482">
        <f t="shared" si="4"/>
        <v>0</v>
      </c>
      <c r="J20" s="482"/>
      <c r="K20" s="112"/>
      <c r="L20" s="484">
        <f t="shared" si="12"/>
        <v>0</v>
      </c>
      <c r="M20" s="112"/>
      <c r="N20" s="484">
        <f t="shared" si="13"/>
        <v>0</v>
      </c>
      <c r="O20" s="484">
        <f t="shared" si="14"/>
        <v>0</v>
      </c>
      <c r="P20" s="465"/>
    </row>
    <row r="21" spans="2:16">
      <c r="B21" t="str">
        <f t="shared" si="0"/>
        <v/>
      </c>
      <c r="C21" s="479">
        <f>IF(D11="","-",+C20+1)</f>
        <v>2028</v>
      </c>
      <c r="D21" s="481">
        <f>IF(F20+SUM(E$17:E20)=D$10,F20,D$10-SUM(E$17:E20))</f>
        <v>6902710.0641239872</v>
      </c>
      <c r="E21" s="55">
        <f t="shared" si="8"/>
        <v>263102.66666666669</v>
      </c>
      <c r="F21" s="481">
        <f t="shared" si="9"/>
        <v>6639607.3974573202</v>
      </c>
      <c r="G21" s="485">
        <f t="shared" si="10"/>
        <v>1040152.5404787173</v>
      </c>
      <c r="H21" s="478">
        <f t="shared" si="11"/>
        <v>1040152.5404787173</v>
      </c>
      <c r="I21" s="482">
        <f t="shared" si="4"/>
        <v>0</v>
      </c>
      <c r="J21" s="482"/>
      <c r="K21" s="112"/>
      <c r="L21" s="484">
        <f t="shared" si="12"/>
        <v>0</v>
      </c>
      <c r="M21" s="112"/>
      <c r="N21" s="484">
        <f t="shared" si="13"/>
        <v>0</v>
      </c>
      <c r="O21" s="484">
        <f t="shared" si="14"/>
        <v>0</v>
      </c>
      <c r="P21" s="465"/>
    </row>
    <row r="22" spans="2:16">
      <c r="B22" t="str">
        <f t="shared" si="0"/>
        <v/>
      </c>
      <c r="C22" s="479">
        <f>IF(D11="","-",+C21+1)</f>
        <v>2029</v>
      </c>
      <c r="D22" s="481">
        <f>IF(F21+SUM(E$17:E21)=D$10,F21,D$10-SUM(E$17:E21))</f>
        <v>6639607.3974573202</v>
      </c>
      <c r="E22" s="55">
        <f t="shared" si="8"/>
        <v>263102.66666666669</v>
      </c>
      <c r="F22" s="481">
        <f t="shared" si="9"/>
        <v>6376504.7307906533</v>
      </c>
      <c r="G22" s="485">
        <f t="shared" si="10"/>
        <v>1009959.2010428426</v>
      </c>
      <c r="H22" s="478">
        <f t="shared" si="11"/>
        <v>1009959.2010428426</v>
      </c>
      <c r="I22" s="482">
        <f t="shared" si="4"/>
        <v>0</v>
      </c>
      <c r="J22" s="482"/>
      <c r="K22" s="112"/>
      <c r="L22" s="484">
        <f t="shared" si="12"/>
        <v>0</v>
      </c>
      <c r="M22" s="112"/>
      <c r="N22" s="484">
        <f t="shared" si="13"/>
        <v>0</v>
      </c>
      <c r="O22" s="484">
        <f t="shared" si="14"/>
        <v>0</v>
      </c>
      <c r="P22" s="465"/>
    </row>
    <row r="23" spans="2:16">
      <c r="B23" t="str">
        <f t="shared" si="0"/>
        <v/>
      </c>
      <c r="C23" s="479">
        <f>IF(D11="","-",+C22+1)</f>
        <v>2030</v>
      </c>
      <c r="D23" s="481">
        <f>IF(F22+SUM(E$17:E22)=D$10,F22,D$10-SUM(E$17:E22))</f>
        <v>6376504.7307906533</v>
      </c>
      <c r="E23" s="55">
        <f t="shared" si="8"/>
        <v>263102.66666666669</v>
      </c>
      <c r="F23" s="481">
        <f t="shared" si="9"/>
        <v>6113402.0641239863</v>
      </c>
      <c r="G23" s="485">
        <f t="shared" si="10"/>
        <v>979765.86160696833</v>
      </c>
      <c r="H23" s="478">
        <f t="shared" si="11"/>
        <v>979765.86160696833</v>
      </c>
      <c r="I23" s="482">
        <f t="shared" si="4"/>
        <v>0</v>
      </c>
      <c r="J23" s="482"/>
      <c r="K23" s="112"/>
      <c r="L23" s="484">
        <f t="shared" si="12"/>
        <v>0</v>
      </c>
      <c r="M23" s="112"/>
      <c r="N23" s="484">
        <f t="shared" si="13"/>
        <v>0</v>
      </c>
      <c r="O23" s="484">
        <f t="shared" si="14"/>
        <v>0</v>
      </c>
      <c r="P23" s="465"/>
    </row>
    <row r="24" spans="2:16">
      <c r="B24" t="str">
        <f t="shared" si="0"/>
        <v/>
      </c>
      <c r="C24" s="479">
        <f>IF(D11="","-",+C23+1)</f>
        <v>2031</v>
      </c>
      <c r="D24" s="481">
        <f>IF(F23+SUM(E$17:E23)=D$10,F23,D$10-SUM(E$17:E23))</f>
        <v>6113402.0641239863</v>
      </c>
      <c r="E24" s="55">
        <f t="shared" si="8"/>
        <v>263102.66666666669</v>
      </c>
      <c r="F24" s="481">
        <f t="shared" si="9"/>
        <v>5850299.3974573193</v>
      </c>
      <c r="G24" s="485">
        <f t="shared" si="10"/>
        <v>949572.52217109362</v>
      </c>
      <c r="H24" s="478">
        <f t="shared" si="11"/>
        <v>949572.52217109362</v>
      </c>
      <c r="I24" s="482">
        <f t="shared" si="4"/>
        <v>0</v>
      </c>
      <c r="J24" s="482"/>
      <c r="K24" s="112"/>
      <c r="L24" s="484">
        <f t="shared" si="12"/>
        <v>0</v>
      </c>
      <c r="M24" s="112"/>
      <c r="N24" s="484">
        <f t="shared" si="13"/>
        <v>0</v>
      </c>
      <c r="O24" s="484">
        <f t="shared" si="14"/>
        <v>0</v>
      </c>
      <c r="P24" s="465"/>
    </row>
    <row r="25" spans="2:16">
      <c r="B25" t="str">
        <f t="shared" si="0"/>
        <v/>
      </c>
      <c r="C25" s="479">
        <f>IF(D11="","-",+C24+1)</f>
        <v>2032</v>
      </c>
      <c r="D25" s="481">
        <f>IF(F24+SUM(E$17:E24)=D$10,F24,D$10-SUM(E$17:E24))</f>
        <v>5850299.3974573193</v>
      </c>
      <c r="E25" s="55">
        <f t="shared" si="8"/>
        <v>263102.66666666669</v>
      </c>
      <c r="F25" s="481">
        <f t="shared" si="9"/>
        <v>5587196.7307906523</v>
      </c>
      <c r="G25" s="485">
        <f t="shared" si="10"/>
        <v>919379.18273521913</v>
      </c>
      <c r="H25" s="478">
        <f t="shared" si="11"/>
        <v>919379.18273521913</v>
      </c>
      <c r="I25" s="482">
        <f t="shared" si="4"/>
        <v>0</v>
      </c>
      <c r="J25" s="482"/>
      <c r="K25" s="112"/>
      <c r="L25" s="484">
        <f t="shared" si="12"/>
        <v>0</v>
      </c>
      <c r="M25" s="112"/>
      <c r="N25" s="484">
        <f t="shared" si="13"/>
        <v>0</v>
      </c>
      <c r="O25" s="484">
        <f t="shared" si="14"/>
        <v>0</v>
      </c>
      <c r="P25" s="465"/>
    </row>
    <row r="26" spans="2:16">
      <c r="B26" t="str">
        <f t="shared" si="0"/>
        <v/>
      </c>
      <c r="C26" s="479">
        <f>IF(D11="","-",+C25+1)</f>
        <v>2033</v>
      </c>
      <c r="D26" s="481">
        <f>IF(F25+SUM(E$17:E25)=D$10,F25,D$10-SUM(E$17:E25))</f>
        <v>5587196.7307906523</v>
      </c>
      <c r="E26" s="55">
        <f t="shared" si="8"/>
        <v>263102.66666666669</v>
      </c>
      <c r="F26" s="481">
        <f t="shared" si="9"/>
        <v>5324094.0641239854</v>
      </c>
      <c r="G26" s="485">
        <f t="shared" si="10"/>
        <v>889185.84329934465</v>
      </c>
      <c r="H26" s="478">
        <f t="shared" si="11"/>
        <v>889185.84329934465</v>
      </c>
      <c r="I26" s="482">
        <f t="shared" si="4"/>
        <v>0</v>
      </c>
      <c r="J26" s="482"/>
      <c r="K26" s="112"/>
      <c r="L26" s="484">
        <f t="shared" si="12"/>
        <v>0</v>
      </c>
      <c r="M26" s="112"/>
      <c r="N26" s="484">
        <f t="shared" si="13"/>
        <v>0</v>
      </c>
      <c r="O26" s="484">
        <f t="shared" si="14"/>
        <v>0</v>
      </c>
      <c r="P26" s="465"/>
    </row>
    <row r="27" spans="2:16">
      <c r="B27" t="str">
        <f t="shared" si="0"/>
        <v/>
      </c>
      <c r="C27" s="479">
        <f>IF(D11="","-",+C26+1)</f>
        <v>2034</v>
      </c>
      <c r="D27" s="481">
        <f>IF(F26+SUM(E$17:E26)=D$10,F26,D$10-SUM(E$17:E26))</f>
        <v>5324094.0641239854</v>
      </c>
      <c r="E27" s="55">
        <f t="shared" si="8"/>
        <v>263102.66666666669</v>
      </c>
      <c r="F27" s="481">
        <f t="shared" si="9"/>
        <v>5060991.3974573184</v>
      </c>
      <c r="G27" s="485">
        <f t="shared" si="10"/>
        <v>858992.50386347016</v>
      </c>
      <c r="H27" s="478">
        <f t="shared" si="11"/>
        <v>858992.50386347016</v>
      </c>
      <c r="I27" s="482">
        <f t="shared" si="4"/>
        <v>0</v>
      </c>
      <c r="J27" s="482"/>
      <c r="K27" s="112"/>
      <c r="L27" s="484">
        <f t="shared" si="12"/>
        <v>0</v>
      </c>
      <c r="M27" s="112"/>
      <c r="N27" s="484">
        <f t="shared" si="13"/>
        <v>0</v>
      </c>
      <c r="O27" s="484">
        <f t="shared" si="14"/>
        <v>0</v>
      </c>
      <c r="P27" s="465"/>
    </row>
    <row r="28" spans="2:16">
      <c r="B28" t="str">
        <f t="shared" si="0"/>
        <v/>
      </c>
      <c r="C28" s="479">
        <f>IF(D11="","-",+C27+1)</f>
        <v>2035</v>
      </c>
      <c r="D28" s="481">
        <f>IF(F27+SUM(E$17:E27)=D$10,F27,D$10-SUM(E$17:E27))</f>
        <v>5060991.3974573184</v>
      </c>
      <c r="E28" s="55">
        <f t="shared" si="8"/>
        <v>263102.66666666669</v>
      </c>
      <c r="F28" s="481">
        <f t="shared" si="9"/>
        <v>4797888.7307906514</v>
      </c>
      <c r="G28" s="485">
        <f t="shared" si="10"/>
        <v>828799.16442759545</v>
      </c>
      <c r="H28" s="478">
        <f t="shared" si="11"/>
        <v>828799.16442759545</v>
      </c>
      <c r="I28" s="482">
        <f t="shared" si="4"/>
        <v>0</v>
      </c>
      <c r="J28" s="482"/>
      <c r="K28" s="112"/>
      <c r="L28" s="484">
        <f t="shared" si="12"/>
        <v>0</v>
      </c>
      <c r="M28" s="112"/>
      <c r="N28" s="484">
        <f t="shared" si="13"/>
        <v>0</v>
      </c>
      <c r="O28" s="484">
        <f t="shared" si="14"/>
        <v>0</v>
      </c>
      <c r="P28" s="465"/>
    </row>
    <row r="29" spans="2:16">
      <c r="B29" t="str">
        <f t="shared" si="0"/>
        <v/>
      </c>
      <c r="C29" s="479">
        <f>IF(D11="","-",+C28+1)</f>
        <v>2036</v>
      </c>
      <c r="D29" s="481">
        <f>IF(F28+SUM(E$17:E28)=D$10,F28,D$10-SUM(E$17:E28))</f>
        <v>4797888.7307906514</v>
      </c>
      <c r="E29" s="55">
        <f t="shared" si="8"/>
        <v>263102.66666666669</v>
      </c>
      <c r="F29" s="481">
        <f t="shared" si="9"/>
        <v>4534786.0641239844</v>
      </c>
      <c r="G29" s="485">
        <f t="shared" si="10"/>
        <v>798605.82499172096</v>
      </c>
      <c r="H29" s="478">
        <f t="shared" si="11"/>
        <v>798605.82499172096</v>
      </c>
      <c r="I29" s="482">
        <f t="shared" si="4"/>
        <v>0</v>
      </c>
      <c r="J29" s="482"/>
      <c r="K29" s="112"/>
      <c r="L29" s="484">
        <f t="shared" si="12"/>
        <v>0</v>
      </c>
      <c r="M29" s="112"/>
      <c r="N29" s="484">
        <f t="shared" si="13"/>
        <v>0</v>
      </c>
      <c r="O29" s="484">
        <f t="shared" si="14"/>
        <v>0</v>
      </c>
      <c r="P29" s="465"/>
    </row>
    <row r="30" spans="2:16">
      <c r="B30" t="str">
        <f t="shared" si="0"/>
        <v/>
      </c>
      <c r="C30" s="479">
        <f>IF(D11="","-",+C29+1)</f>
        <v>2037</v>
      </c>
      <c r="D30" s="481">
        <f>IF(F29+SUM(E$17:E29)=D$10,F29,D$10-SUM(E$17:E29))</f>
        <v>4534786.0641239844</v>
      </c>
      <c r="E30" s="55">
        <f t="shared" si="8"/>
        <v>263102.66666666669</v>
      </c>
      <c r="F30" s="481">
        <f t="shared" si="9"/>
        <v>4271683.3974573174</v>
      </c>
      <c r="G30" s="485">
        <f t="shared" si="10"/>
        <v>768412.48555584648</v>
      </c>
      <c r="H30" s="478">
        <f t="shared" si="11"/>
        <v>768412.48555584648</v>
      </c>
      <c r="I30" s="482">
        <f t="shared" si="4"/>
        <v>0</v>
      </c>
      <c r="J30" s="482"/>
      <c r="K30" s="112"/>
      <c r="L30" s="484">
        <f t="shared" si="12"/>
        <v>0</v>
      </c>
      <c r="M30" s="112"/>
      <c r="N30" s="484">
        <f t="shared" si="13"/>
        <v>0</v>
      </c>
      <c r="O30" s="484">
        <f t="shared" si="14"/>
        <v>0</v>
      </c>
      <c r="P30" s="465"/>
    </row>
    <row r="31" spans="2:16">
      <c r="B31" t="str">
        <f t="shared" si="0"/>
        <v/>
      </c>
      <c r="C31" s="479">
        <f>IF(D11="","-",+C30+1)</f>
        <v>2038</v>
      </c>
      <c r="D31" s="481">
        <f>IF(F30+SUM(E$17:E30)=D$10,F30,D$10-SUM(E$17:E30))</f>
        <v>4271683.3974573174</v>
      </c>
      <c r="E31" s="55">
        <f t="shared" si="8"/>
        <v>263102.66666666669</v>
      </c>
      <c r="F31" s="481">
        <f t="shared" si="9"/>
        <v>4008580.7307906509</v>
      </c>
      <c r="G31" s="485">
        <f t="shared" si="10"/>
        <v>738219.14611997199</v>
      </c>
      <c r="H31" s="478">
        <f t="shared" si="11"/>
        <v>738219.14611997199</v>
      </c>
      <c r="I31" s="482">
        <f t="shared" si="4"/>
        <v>0</v>
      </c>
      <c r="J31" s="482"/>
      <c r="K31" s="112"/>
      <c r="L31" s="484">
        <f t="shared" si="12"/>
        <v>0</v>
      </c>
      <c r="M31" s="112"/>
      <c r="N31" s="484">
        <f t="shared" si="13"/>
        <v>0</v>
      </c>
      <c r="O31" s="484">
        <f t="shared" si="14"/>
        <v>0</v>
      </c>
      <c r="P31" s="465"/>
    </row>
    <row r="32" spans="2:16">
      <c r="B32" t="str">
        <f t="shared" si="0"/>
        <v/>
      </c>
      <c r="C32" s="479">
        <f>IF(D11="","-",+C31+1)</f>
        <v>2039</v>
      </c>
      <c r="D32" s="481">
        <f>IF(F31+SUM(E$17:E31)=D$10,F31,D$10-SUM(E$17:E31))</f>
        <v>4008580.7307906509</v>
      </c>
      <c r="E32" s="55">
        <f t="shared" si="8"/>
        <v>263102.66666666669</v>
      </c>
      <c r="F32" s="481">
        <f t="shared" si="9"/>
        <v>3745478.0641239844</v>
      </c>
      <c r="G32" s="485">
        <f t="shared" si="10"/>
        <v>708025.80668409751</v>
      </c>
      <c r="H32" s="478">
        <f t="shared" si="11"/>
        <v>708025.80668409751</v>
      </c>
      <c r="I32" s="482">
        <f t="shared" si="4"/>
        <v>0</v>
      </c>
      <c r="J32" s="482"/>
      <c r="K32" s="112"/>
      <c r="L32" s="484">
        <f t="shared" si="12"/>
        <v>0</v>
      </c>
      <c r="M32" s="112"/>
      <c r="N32" s="484">
        <f t="shared" si="13"/>
        <v>0</v>
      </c>
      <c r="O32" s="484">
        <f t="shared" si="14"/>
        <v>0</v>
      </c>
      <c r="P32" s="465"/>
    </row>
    <row r="33" spans="2:16">
      <c r="B33" t="str">
        <f t="shared" si="0"/>
        <v/>
      </c>
      <c r="C33" s="479">
        <f>IF(D11="","-",+C32+1)</f>
        <v>2040</v>
      </c>
      <c r="D33" s="481">
        <f>IF(F32+SUM(E$17:E32)=D$10,F32,D$10-SUM(E$17:E32))</f>
        <v>3745478.0641239844</v>
      </c>
      <c r="E33" s="55">
        <f t="shared" si="8"/>
        <v>263102.66666666669</v>
      </c>
      <c r="F33" s="481">
        <f t="shared" si="9"/>
        <v>3482375.3974573179</v>
      </c>
      <c r="G33" s="485">
        <f t="shared" si="10"/>
        <v>677832.46724822302</v>
      </c>
      <c r="H33" s="478">
        <f t="shared" si="11"/>
        <v>677832.46724822302</v>
      </c>
      <c r="I33" s="482">
        <f t="shared" si="4"/>
        <v>0</v>
      </c>
      <c r="J33" s="482"/>
      <c r="K33" s="112"/>
      <c r="L33" s="484">
        <f t="shared" si="12"/>
        <v>0</v>
      </c>
      <c r="M33" s="112"/>
      <c r="N33" s="484">
        <f t="shared" si="13"/>
        <v>0</v>
      </c>
      <c r="O33" s="484">
        <f t="shared" si="14"/>
        <v>0</v>
      </c>
      <c r="P33" s="465"/>
    </row>
    <row r="34" spans="2:16">
      <c r="B34" t="str">
        <f t="shared" si="0"/>
        <v/>
      </c>
      <c r="C34" s="479">
        <f>IF(D11="","-",+C33+1)</f>
        <v>2041</v>
      </c>
      <c r="D34" s="481">
        <f>IF(F33+SUM(E$17:E33)=D$10,F33,D$10-SUM(E$17:E33))</f>
        <v>3482375.3974573179</v>
      </c>
      <c r="E34" s="55">
        <f t="shared" si="8"/>
        <v>263102.66666666669</v>
      </c>
      <c r="F34" s="481">
        <f t="shared" si="9"/>
        <v>3219272.7307906514</v>
      </c>
      <c r="G34" s="485">
        <f t="shared" si="10"/>
        <v>647639.12781234854</v>
      </c>
      <c r="H34" s="478">
        <f t="shared" si="11"/>
        <v>647639.12781234854</v>
      </c>
      <c r="I34" s="482">
        <f t="shared" si="4"/>
        <v>0</v>
      </c>
      <c r="J34" s="482"/>
      <c r="K34" s="112"/>
      <c r="L34" s="484">
        <f t="shared" si="12"/>
        <v>0</v>
      </c>
      <c r="M34" s="112"/>
      <c r="N34" s="484">
        <f t="shared" si="13"/>
        <v>0</v>
      </c>
      <c r="O34" s="484">
        <f t="shared" si="14"/>
        <v>0</v>
      </c>
      <c r="P34" s="465"/>
    </row>
    <row r="35" spans="2:16">
      <c r="B35" t="str">
        <f t="shared" si="0"/>
        <v/>
      </c>
      <c r="C35" s="479">
        <f>IF(D11="","-",+C34+1)</f>
        <v>2042</v>
      </c>
      <c r="D35" s="481">
        <f>IF(F34+SUM(E$17:E34)=D$10,F34,D$10-SUM(E$17:E34))</f>
        <v>3219272.7307906514</v>
      </c>
      <c r="E35" s="55">
        <f t="shared" si="8"/>
        <v>263102.66666666669</v>
      </c>
      <c r="F35" s="481">
        <f t="shared" si="9"/>
        <v>2956170.0641239849</v>
      </c>
      <c r="G35" s="485">
        <f t="shared" si="10"/>
        <v>617445.78837647405</v>
      </c>
      <c r="H35" s="478">
        <f t="shared" si="11"/>
        <v>617445.78837647405</v>
      </c>
      <c r="I35" s="482">
        <f t="shared" si="4"/>
        <v>0</v>
      </c>
      <c r="J35" s="482"/>
      <c r="K35" s="112"/>
      <c r="L35" s="484">
        <f t="shared" si="12"/>
        <v>0</v>
      </c>
      <c r="M35" s="112"/>
      <c r="N35" s="484">
        <f t="shared" si="13"/>
        <v>0</v>
      </c>
      <c r="O35" s="484">
        <f t="shared" si="14"/>
        <v>0</v>
      </c>
      <c r="P35" s="465"/>
    </row>
    <row r="36" spans="2:16">
      <c r="B36" t="str">
        <f t="shared" si="0"/>
        <v/>
      </c>
      <c r="C36" s="479">
        <f>IF(D11="","-",+C35+1)</f>
        <v>2043</v>
      </c>
      <c r="D36" s="481">
        <f>IF(F35+SUM(E$17:E35)=D$10,F35,D$10-SUM(E$17:E35))</f>
        <v>2956170.0641239849</v>
      </c>
      <c r="E36" s="55">
        <f t="shared" si="8"/>
        <v>263102.66666666669</v>
      </c>
      <c r="F36" s="481">
        <f t="shared" si="9"/>
        <v>2693067.3974573184</v>
      </c>
      <c r="G36" s="485">
        <f t="shared" si="10"/>
        <v>587252.44894059957</v>
      </c>
      <c r="H36" s="478">
        <f t="shared" si="11"/>
        <v>587252.44894059957</v>
      </c>
      <c r="I36" s="482">
        <f t="shared" si="4"/>
        <v>0</v>
      </c>
      <c r="J36" s="482"/>
      <c r="K36" s="112"/>
      <c r="L36" s="484">
        <f t="shared" si="12"/>
        <v>0</v>
      </c>
      <c r="M36" s="112"/>
      <c r="N36" s="484">
        <f t="shared" si="13"/>
        <v>0</v>
      </c>
      <c r="O36" s="484">
        <f t="shared" si="14"/>
        <v>0</v>
      </c>
      <c r="P36" s="465"/>
    </row>
    <row r="37" spans="2:16">
      <c r="B37" t="str">
        <f t="shared" si="0"/>
        <v/>
      </c>
      <c r="C37" s="479">
        <f>IF(D11="","-",+C36+1)</f>
        <v>2044</v>
      </c>
      <c r="D37" s="481">
        <f>IF(F36+SUM(E$17:E36)=D$10,F36,D$10-SUM(E$17:E36))</f>
        <v>2693067.3974573184</v>
      </c>
      <c r="E37" s="55">
        <f t="shared" si="8"/>
        <v>263102.66666666669</v>
      </c>
      <c r="F37" s="481">
        <f t="shared" si="9"/>
        <v>2429964.7307906519</v>
      </c>
      <c r="G37" s="485">
        <f t="shared" si="10"/>
        <v>557059.10950472509</v>
      </c>
      <c r="H37" s="478">
        <f t="shared" si="11"/>
        <v>557059.10950472509</v>
      </c>
      <c r="I37" s="482">
        <f t="shared" si="4"/>
        <v>0</v>
      </c>
      <c r="J37" s="482"/>
      <c r="K37" s="112"/>
      <c r="L37" s="484">
        <f t="shared" si="12"/>
        <v>0</v>
      </c>
      <c r="M37" s="112"/>
      <c r="N37" s="484">
        <f t="shared" si="13"/>
        <v>0</v>
      </c>
      <c r="O37" s="484">
        <f t="shared" si="14"/>
        <v>0</v>
      </c>
      <c r="P37" s="465"/>
    </row>
    <row r="38" spans="2:16">
      <c r="B38" t="str">
        <f t="shared" si="0"/>
        <v/>
      </c>
      <c r="C38" s="479">
        <f>IF(D11="","-",+C37+1)</f>
        <v>2045</v>
      </c>
      <c r="D38" s="481">
        <f>IF(F37+SUM(E$17:E37)=D$10,F37,D$10-SUM(E$17:E37))</f>
        <v>2429964.7307906519</v>
      </c>
      <c r="E38" s="55">
        <f t="shared" si="8"/>
        <v>263102.66666666669</v>
      </c>
      <c r="F38" s="481">
        <f t="shared" si="9"/>
        <v>2166862.0641239854</v>
      </c>
      <c r="G38" s="485">
        <f t="shared" si="10"/>
        <v>526865.7700688506</v>
      </c>
      <c r="H38" s="478">
        <f t="shared" si="11"/>
        <v>526865.7700688506</v>
      </c>
      <c r="I38" s="482">
        <f t="shared" si="4"/>
        <v>0</v>
      </c>
      <c r="J38" s="482"/>
      <c r="K38" s="112"/>
      <c r="L38" s="484">
        <f t="shared" si="12"/>
        <v>0</v>
      </c>
      <c r="M38" s="112"/>
      <c r="N38" s="484">
        <f t="shared" si="13"/>
        <v>0</v>
      </c>
      <c r="O38" s="484">
        <f t="shared" si="14"/>
        <v>0</v>
      </c>
      <c r="P38" s="465"/>
    </row>
    <row r="39" spans="2:16">
      <c r="B39" t="str">
        <f t="shared" si="0"/>
        <v/>
      </c>
      <c r="C39" s="479">
        <f>IF(D11="","-",+C38+1)</f>
        <v>2046</v>
      </c>
      <c r="D39" s="481">
        <f>IF(F38+SUM(E$17:E38)=D$10,F38,D$10-SUM(E$17:E38))</f>
        <v>2166862.0641239854</v>
      </c>
      <c r="E39" s="55">
        <f t="shared" si="8"/>
        <v>263102.66666666669</v>
      </c>
      <c r="F39" s="481">
        <f t="shared" si="9"/>
        <v>1903759.3974573186</v>
      </c>
      <c r="G39" s="485">
        <f t="shared" si="10"/>
        <v>496672.43063297612</v>
      </c>
      <c r="H39" s="478">
        <f t="shared" si="11"/>
        <v>496672.43063297612</v>
      </c>
      <c r="I39" s="482">
        <f t="shared" si="4"/>
        <v>0</v>
      </c>
      <c r="J39" s="482"/>
      <c r="K39" s="112"/>
      <c r="L39" s="484">
        <f t="shared" si="12"/>
        <v>0</v>
      </c>
      <c r="M39" s="112"/>
      <c r="N39" s="484">
        <f t="shared" si="13"/>
        <v>0</v>
      </c>
      <c r="O39" s="484">
        <f t="shared" si="14"/>
        <v>0</v>
      </c>
      <c r="P39" s="465"/>
    </row>
    <row r="40" spans="2:16">
      <c r="B40" t="str">
        <f t="shared" si="0"/>
        <v/>
      </c>
      <c r="C40" s="479">
        <f>IF(D11="","-",+C39+1)</f>
        <v>2047</v>
      </c>
      <c r="D40" s="481">
        <f>IF(F39+SUM(E$17:E39)=D$10,F39,D$10-SUM(E$17:E39))</f>
        <v>1903759.3974573186</v>
      </c>
      <c r="E40" s="55">
        <f t="shared" si="8"/>
        <v>263102.66666666669</v>
      </c>
      <c r="F40" s="481">
        <f t="shared" si="9"/>
        <v>1640656.7307906519</v>
      </c>
      <c r="G40" s="485">
        <f t="shared" si="10"/>
        <v>466479.09119710163</v>
      </c>
      <c r="H40" s="478">
        <f t="shared" si="11"/>
        <v>466479.09119710163</v>
      </c>
      <c r="I40" s="482">
        <f t="shared" si="4"/>
        <v>0</v>
      </c>
      <c r="J40" s="482"/>
      <c r="K40" s="112"/>
      <c r="L40" s="484">
        <f t="shared" si="12"/>
        <v>0</v>
      </c>
      <c r="M40" s="112"/>
      <c r="N40" s="484">
        <f t="shared" si="13"/>
        <v>0</v>
      </c>
      <c r="O40" s="484">
        <f t="shared" si="14"/>
        <v>0</v>
      </c>
      <c r="P40" s="465"/>
    </row>
    <row r="41" spans="2:16">
      <c r="B41" t="str">
        <f t="shared" si="0"/>
        <v/>
      </c>
      <c r="C41" s="479">
        <f>IF(D11="","-",+C40+1)</f>
        <v>2048</v>
      </c>
      <c r="D41" s="481">
        <f>IF(F40+SUM(E$17:E40)=D$10,F40,D$10-SUM(E$17:E40))</f>
        <v>1640656.7307906519</v>
      </c>
      <c r="E41" s="55">
        <f t="shared" si="8"/>
        <v>263102.66666666669</v>
      </c>
      <c r="F41" s="481">
        <f t="shared" si="9"/>
        <v>1377554.0641239851</v>
      </c>
      <c r="G41" s="485">
        <f t="shared" si="10"/>
        <v>436285.75176122715</v>
      </c>
      <c r="H41" s="478">
        <f t="shared" si="11"/>
        <v>436285.75176122715</v>
      </c>
      <c r="I41" s="482">
        <f t="shared" si="4"/>
        <v>0</v>
      </c>
      <c r="J41" s="482"/>
      <c r="K41" s="112"/>
      <c r="L41" s="484">
        <f t="shared" si="12"/>
        <v>0</v>
      </c>
      <c r="M41" s="112"/>
      <c r="N41" s="484">
        <f t="shared" si="13"/>
        <v>0</v>
      </c>
      <c r="O41" s="484">
        <f t="shared" si="14"/>
        <v>0</v>
      </c>
      <c r="P41" s="465"/>
    </row>
    <row r="42" spans="2:16">
      <c r="B42" t="str">
        <f t="shared" si="0"/>
        <v/>
      </c>
      <c r="C42" s="479">
        <f>IF(D11="","-",+C41+1)</f>
        <v>2049</v>
      </c>
      <c r="D42" s="481">
        <f>IF(F41+SUM(E$17:E41)=D$10,F41,D$10-SUM(E$17:E41))</f>
        <v>1377554.0641239851</v>
      </c>
      <c r="E42" s="55">
        <f t="shared" si="8"/>
        <v>263102.66666666669</v>
      </c>
      <c r="F42" s="481">
        <f t="shared" si="9"/>
        <v>1114451.3974573184</v>
      </c>
      <c r="G42" s="485">
        <f t="shared" si="10"/>
        <v>406092.41232535266</v>
      </c>
      <c r="H42" s="478">
        <f t="shared" si="11"/>
        <v>406092.41232535266</v>
      </c>
      <c r="I42" s="482">
        <f t="shared" si="4"/>
        <v>0</v>
      </c>
      <c r="J42" s="482"/>
      <c r="K42" s="112"/>
      <c r="L42" s="484">
        <f t="shared" si="12"/>
        <v>0</v>
      </c>
      <c r="M42" s="112"/>
      <c r="N42" s="484">
        <f t="shared" si="13"/>
        <v>0</v>
      </c>
      <c r="O42" s="484">
        <f t="shared" si="14"/>
        <v>0</v>
      </c>
      <c r="P42" s="465"/>
    </row>
    <row r="43" spans="2:16">
      <c r="B43" t="str">
        <f t="shared" si="0"/>
        <v/>
      </c>
      <c r="C43" s="479">
        <f>IF(D11="","-",+C42+1)</f>
        <v>2050</v>
      </c>
      <c r="D43" s="481">
        <f>IF(F42+SUM(E$17:E42)=D$10,F42,D$10-SUM(E$17:E42))</f>
        <v>1114451.3974573184</v>
      </c>
      <c r="E43" s="55">
        <f t="shared" si="8"/>
        <v>263102.66666666669</v>
      </c>
      <c r="F43" s="481">
        <f t="shared" si="9"/>
        <v>851348.73079065164</v>
      </c>
      <c r="G43" s="485">
        <f t="shared" si="10"/>
        <v>375899.07288947812</v>
      </c>
      <c r="H43" s="478">
        <f t="shared" si="11"/>
        <v>375899.07288947812</v>
      </c>
      <c r="I43" s="482">
        <f t="shared" si="4"/>
        <v>0</v>
      </c>
      <c r="J43" s="482"/>
      <c r="K43" s="112"/>
      <c r="L43" s="484">
        <f t="shared" si="12"/>
        <v>0</v>
      </c>
      <c r="M43" s="112"/>
      <c r="N43" s="484">
        <f t="shared" si="13"/>
        <v>0</v>
      </c>
      <c r="O43" s="484">
        <f t="shared" si="14"/>
        <v>0</v>
      </c>
      <c r="P43" s="465"/>
    </row>
    <row r="44" spans="2:16">
      <c r="B44" t="str">
        <f t="shared" si="0"/>
        <v/>
      </c>
      <c r="C44" s="479">
        <f>IF(D11="","-",+C43+1)</f>
        <v>2051</v>
      </c>
      <c r="D44" s="481">
        <f>IF(F43+SUM(E$17:E43)=D$10,F43,D$10-SUM(E$17:E43))</f>
        <v>851348.73079065164</v>
      </c>
      <c r="E44" s="55">
        <f t="shared" si="8"/>
        <v>263102.66666666669</v>
      </c>
      <c r="F44" s="481">
        <f t="shared" si="9"/>
        <v>588246.06412398489</v>
      </c>
      <c r="G44" s="485">
        <f t="shared" si="10"/>
        <v>345705.73345360364</v>
      </c>
      <c r="H44" s="478">
        <f t="shared" si="11"/>
        <v>345705.73345360364</v>
      </c>
      <c r="I44" s="482">
        <f t="shared" si="4"/>
        <v>0</v>
      </c>
      <c r="J44" s="482"/>
      <c r="K44" s="112"/>
      <c r="L44" s="484">
        <f t="shared" si="12"/>
        <v>0</v>
      </c>
      <c r="M44" s="112"/>
      <c r="N44" s="484">
        <f t="shared" si="13"/>
        <v>0</v>
      </c>
      <c r="O44" s="484">
        <f t="shared" si="14"/>
        <v>0</v>
      </c>
      <c r="P44" s="465"/>
    </row>
    <row r="45" spans="2:16">
      <c r="B45" t="str">
        <f t="shared" si="0"/>
        <v/>
      </c>
      <c r="C45" s="479">
        <f>IF(D11="","-",+C44+1)</f>
        <v>2052</v>
      </c>
      <c r="D45" s="481">
        <f>IF(F44+SUM(E$17:E44)=D$10,F44,D$10-SUM(E$17:E44))</f>
        <v>588246.06412398489</v>
      </c>
      <c r="E45" s="55">
        <f t="shared" si="8"/>
        <v>263102.66666666669</v>
      </c>
      <c r="F45" s="481">
        <f t="shared" si="9"/>
        <v>325143.39745731821</v>
      </c>
      <c r="G45" s="485">
        <f t="shared" si="10"/>
        <v>315512.39401772915</v>
      </c>
      <c r="H45" s="478">
        <f t="shared" si="11"/>
        <v>315512.39401772915</v>
      </c>
      <c r="I45" s="482">
        <f t="shared" si="4"/>
        <v>0</v>
      </c>
      <c r="J45" s="482"/>
      <c r="K45" s="112"/>
      <c r="L45" s="484">
        <f t="shared" si="12"/>
        <v>0</v>
      </c>
      <c r="M45" s="112"/>
      <c r="N45" s="484">
        <f t="shared" si="13"/>
        <v>0</v>
      </c>
      <c r="O45" s="484">
        <f t="shared" si="14"/>
        <v>0</v>
      </c>
      <c r="P45" s="465"/>
    </row>
    <row r="46" spans="2:16">
      <c r="B46" t="str">
        <f t="shared" si="0"/>
        <v/>
      </c>
      <c r="C46" s="479">
        <f>IF(D11="","-",+C45+1)</f>
        <v>2053</v>
      </c>
      <c r="D46" s="481">
        <f>IF(F45+SUM(E$17:E45)=D$10,F45,D$10-SUM(E$17:E45))</f>
        <v>325143.39745731821</v>
      </c>
      <c r="E46" s="55">
        <f t="shared" si="8"/>
        <v>263102.66666666669</v>
      </c>
      <c r="F46" s="481">
        <f t="shared" si="9"/>
        <v>62040.73079065152</v>
      </c>
      <c r="G46" s="485">
        <f t="shared" si="10"/>
        <v>285319.05458185461</v>
      </c>
      <c r="H46" s="478">
        <f t="shared" si="11"/>
        <v>285319.05458185461</v>
      </c>
      <c r="I46" s="482">
        <f t="shared" si="4"/>
        <v>0</v>
      </c>
      <c r="J46" s="482"/>
      <c r="K46" s="112"/>
      <c r="L46" s="484">
        <f t="shared" si="12"/>
        <v>0</v>
      </c>
      <c r="M46" s="112"/>
      <c r="N46" s="484">
        <f t="shared" si="13"/>
        <v>0</v>
      </c>
      <c r="O46" s="484">
        <f t="shared" si="14"/>
        <v>0</v>
      </c>
      <c r="P46" s="465"/>
    </row>
    <row r="47" spans="2:16">
      <c r="B47" t="str">
        <f t="shared" si="0"/>
        <v/>
      </c>
      <c r="C47" s="479">
        <f>IF(D11="","-",+C46+1)</f>
        <v>2054</v>
      </c>
      <c r="D47" s="481">
        <f>IF(F46+SUM(E$17:E46)=D$10,F46,D$10-SUM(E$17:E46))</f>
        <v>62040.73079065152</v>
      </c>
      <c r="E47" s="55">
        <f t="shared" si="8"/>
        <v>62040.73079065152</v>
      </c>
      <c r="F47" s="481">
        <f t="shared" si="9"/>
        <v>0</v>
      </c>
      <c r="G47" s="485">
        <f t="shared" si="10"/>
        <v>65600.589889276875</v>
      </c>
      <c r="H47" s="478">
        <f t="shared" si="11"/>
        <v>65600.589889276875</v>
      </c>
      <c r="I47" s="482">
        <f t="shared" si="4"/>
        <v>0</v>
      </c>
      <c r="J47" s="482"/>
      <c r="K47" s="112"/>
      <c r="L47" s="484">
        <f t="shared" si="12"/>
        <v>0</v>
      </c>
      <c r="M47" s="112"/>
      <c r="N47" s="484">
        <f t="shared" si="13"/>
        <v>0</v>
      </c>
      <c r="O47" s="484">
        <f t="shared" si="14"/>
        <v>0</v>
      </c>
      <c r="P47" s="465"/>
    </row>
    <row r="48" spans="2:16">
      <c r="B48" t="str">
        <f t="shared" si="0"/>
        <v/>
      </c>
      <c r="C48" s="479">
        <f>IF(D11="","-",+C47+1)</f>
        <v>2055</v>
      </c>
      <c r="D48" s="481">
        <f>IF(F47+SUM(E$17:E47)=D$10,F47,D$10-SUM(E$17:E47))</f>
        <v>0</v>
      </c>
      <c r="E48" s="55">
        <f t="shared" si="8"/>
        <v>0</v>
      </c>
      <c r="F48" s="481">
        <f t="shared" si="9"/>
        <v>0</v>
      </c>
      <c r="G48" s="485">
        <f t="shared" si="10"/>
        <v>0</v>
      </c>
      <c r="H48" s="478">
        <f t="shared" si="11"/>
        <v>0</v>
      </c>
      <c r="I48" s="482">
        <f t="shared" si="4"/>
        <v>0</v>
      </c>
      <c r="J48" s="482"/>
      <c r="K48" s="112"/>
      <c r="L48" s="484">
        <f t="shared" si="12"/>
        <v>0</v>
      </c>
      <c r="M48" s="112"/>
      <c r="N48" s="484">
        <f t="shared" si="13"/>
        <v>0</v>
      </c>
      <c r="O48" s="484">
        <f t="shared" si="14"/>
        <v>0</v>
      </c>
      <c r="P48" s="465"/>
    </row>
    <row r="49" spans="2:16">
      <c r="B49" t="str">
        <f t="shared" si="0"/>
        <v/>
      </c>
      <c r="C49" s="479">
        <f>IF(D11="","-",+C48+1)</f>
        <v>2056</v>
      </c>
      <c r="D49" s="481">
        <f>IF(F48+SUM(E$17:E48)=D$10,F48,D$10-SUM(E$17:E48))</f>
        <v>0</v>
      </c>
      <c r="E49" s="55">
        <f t="shared" si="8"/>
        <v>0</v>
      </c>
      <c r="F49" s="481">
        <f t="shared" si="9"/>
        <v>0</v>
      </c>
      <c r="G49" s="485">
        <f t="shared" si="10"/>
        <v>0</v>
      </c>
      <c r="H49" s="478">
        <f t="shared" si="11"/>
        <v>0</v>
      </c>
      <c r="I49" s="482">
        <f t="shared" si="4"/>
        <v>0</v>
      </c>
      <c r="J49" s="482"/>
      <c r="K49" s="112"/>
      <c r="L49" s="484">
        <f t="shared" si="12"/>
        <v>0</v>
      </c>
      <c r="M49" s="112"/>
      <c r="N49" s="484">
        <f t="shared" si="13"/>
        <v>0</v>
      </c>
      <c r="O49" s="484">
        <f t="shared" si="14"/>
        <v>0</v>
      </c>
      <c r="P49" s="465"/>
    </row>
    <row r="50" spans="2:16">
      <c r="B50" t="str">
        <f t="shared" si="0"/>
        <v/>
      </c>
      <c r="C50" s="479">
        <f>IF(D11="","-",+C49+1)</f>
        <v>2057</v>
      </c>
      <c r="D50" s="481">
        <f>IF(F49+SUM(E$17:E49)=D$10,F49,D$10-SUM(E$17:E49))</f>
        <v>0</v>
      </c>
      <c r="E50" s="55">
        <f t="shared" si="8"/>
        <v>0</v>
      </c>
      <c r="F50" s="481">
        <f t="shared" si="9"/>
        <v>0</v>
      </c>
      <c r="G50" s="485">
        <f t="shared" si="10"/>
        <v>0</v>
      </c>
      <c r="H50" s="478">
        <f t="shared" si="11"/>
        <v>0</v>
      </c>
      <c r="I50" s="482">
        <f t="shared" si="4"/>
        <v>0</v>
      </c>
      <c r="J50" s="482"/>
      <c r="K50" s="112"/>
      <c r="L50" s="484">
        <f t="shared" si="12"/>
        <v>0</v>
      </c>
      <c r="M50" s="112"/>
      <c r="N50" s="484">
        <f t="shared" si="13"/>
        <v>0</v>
      </c>
      <c r="O50" s="484">
        <f t="shared" si="14"/>
        <v>0</v>
      </c>
      <c r="P50" s="465"/>
    </row>
    <row r="51" spans="2:16">
      <c r="B51" t="str">
        <f t="shared" si="0"/>
        <v/>
      </c>
      <c r="C51" s="479">
        <f>IF(D11="","-",+C50+1)</f>
        <v>2058</v>
      </c>
      <c r="D51" s="481">
        <f>IF(F50+SUM(E$17:E50)=D$10,F50,D$10-SUM(E$17:E50))</f>
        <v>0</v>
      </c>
      <c r="E51" s="55">
        <f t="shared" si="8"/>
        <v>0</v>
      </c>
      <c r="F51" s="481">
        <f t="shared" si="9"/>
        <v>0</v>
      </c>
      <c r="G51" s="485">
        <f t="shared" si="10"/>
        <v>0</v>
      </c>
      <c r="H51" s="478">
        <f t="shared" si="11"/>
        <v>0</v>
      </c>
      <c r="I51" s="482">
        <f t="shared" si="4"/>
        <v>0</v>
      </c>
      <c r="J51" s="482"/>
      <c r="K51" s="112"/>
      <c r="L51" s="484">
        <f t="shared" si="12"/>
        <v>0</v>
      </c>
      <c r="M51" s="112"/>
      <c r="N51" s="484">
        <f t="shared" si="13"/>
        <v>0</v>
      </c>
      <c r="O51" s="484">
        <f t="shared" si="14"/>
        <v>0</v>
      </c>
      <c r="P51" s="465"/>
    </row>
    <row r="52" spans="2:16">
      <c r="B52" t="str">
        <f t="shared" si="0"/>
        <v/>
      </c>
      <c r="C52" s="479">
        <f>IF(D11="","-",+C51+1)</f>
        <v>2059</v>
      </c>
      <c r="D52" s="481">
        <f>IF(F51+SUM(E$17:E51)=D$10,F51,D$10-SUM(E$17:E51))</f>
        <v>0</v>
      </c>
      <c r="E52" s="55">
        <f t="shared" si="8"/>
        <v>0</v>
      </c>
      <c r="F52" s="481">
        <f t="shared" si="9"/>
        <v>0</v>
      </c>
      <c r="G52" s="485">
        <f t="shared" si="10"/>
        <v>0</v>
      </c>
      <c r="H52" s="478">
        <f t="shared" si="11"/>
        <v>0</v>
      </c>
      <c r="I52" s="482">
        <f t="shared" si="4"/>
        <v>0</v>
      </c>
      <c r="J52" s="482"/>
      <c r="K52" s="112"/>
      <c r="L52" s="484">
        <f t="shared" si="12"/>
        <v>0</v>
      </c>
      <c r="M52" s="112"/>
      <c r="N52" s="484">
        <f t="shared" si="13"/>
        <v>0</v>
      </c>
      <c r="O52" s="484">
        <f t="shared" si="14"/>
        <v>0</v>
      </c>
      <c r="P52" s="465"/>
    </row>
    <row r="53" spans="2:16">
      <c r="B53" t="str">
        <f t="shared" si="0"/>
        <v/>
      </c>
      <c r="C53" s="479">
        <f>IF(D11="","-",+C52+1)</f>
        <v>2060</v>
      </c>
      <c r="D53" s="481">
        <f>IF(F52+SUM(E$17:E52)=D$10,F52,D$10-SUM(E$17:E52))</f>
        <v>0</v>
      </c>
      <c r="E53" s="55">
        <f t="shared" si="8"/>
        <v>0</v>
      </c>
      <c r="F53" s="481">
        <f t="shared" si="9"/>
        <v>0</v>
      </c>
      <c r="G53" s="485">
        <f t="shared" si="10"/>
        <v>0</v>
      </c>
      <c r="H53" s="478">
        <f t="shared" si="11"/>
        <v>0</v>
      </c>
      <c r="I53" s="482">
        <f t="shared" si="4"/>
        <v>0</v>
      </c>
      <c r="J53" s="482"/>
      <c r="K53" s="112"/>
      <c r="L53" s="484">
        <f t="shared" si="12"/>
        <v>0</v>
      </c>
      <c r="M53" s="112"/>
      <c r="N53" s="484">
        <f t="shared" si="13"/>
        <v>0</v>
      </c>
      <c r="O53" s="484">
        <f t="shared" si="14"/>
        <v>0</v>
      </c>
      <c r="P53" s="465"/>
    </row>
    <row r="54" spans="2:16">
      <c r="B54" t="str">
        <f t="shared" si="0"/>
        <v/>
      </c>
      <c r="C54" s="479">
        <f>IF(D11="","-",+C53+1)</f>
        <v>2061</v>
      </c>
      <c r="D54" s="481">
        <f>IF(F53+SUM(E$17:E53)=D$10,F53,D$10-SUM(E$17:E53))</f>
        <v>0</v>
      </c>
      <c r="E54" s="55">
        <f t="shared" si="8"/>
        <v>0</v>
      </c>
      <c r="F54" s="481">
        <f t="shared" si="9"/>
        <v>0</v>
      </c>
      <c r="G54" s="485">
        <f t="shared" si="10"/>
        <v>0</v>
      </c>
      <c r="H54" s="478">
        <f t="shared" si="11"/>
        <v>0</v>
      </c>
      <c r="I54" s="482">
        <f t="shared" si="4"/>
        <v>0</v>
      </c>
      <c r="J54" s="482"/>
      <c r="K54" s="112"/>
      <c r="L54" s="484">
        <f t="shared" si="12"/>
        <v>0</v>
      </c>
      <c r="M54" s="112"/>
      <c r="N54" s="484">
        <f t="shared" si="13"/>
        <v>0</v>
      </c>
      <c r="O54" s="484">
        <f t="shared" si="14"/>
        <v>0</v>
      </c>
      <c r="P54" s="465"/>
    </row>
    <row r="55" spans="2:16">
      <c r="B55" t="str">
        <f t="shared" si="0"/>
        <v/>
      </c>
      <c r="C55" s="479">
        <f>IF(D11="","-",+C54+1)</f>
        <v>2062</v>
      </c>
      <c r="D55" s="481">
        <f>IF(F54+SUM(E$17:E54)=D$10,F54,D$10-SUM(E$17:E54))</f>
        <v>0</v>
      </c>
      <c r="E55" s="55">
        <f t="shared" si="8"/>
        <v>0</v>
      </c>
      <c r="F55" s="481">
        <f t="shared" si="9"/>
        <v>0</v>
      </c>
      <c r="G55" s="485">
        <f t="shared" si="10"/>
        <v>0</v>
      </c>
      <c r="H55" s="478">
        <f t="shared" si="11"/>
        <v>0</v>
      </c>
      <c r="I55" s="482">
        <f t="shared" si="4"/>
        <v>0</v>
      </c>
      <c r="J55" s="482"/>
      <c r="K55" s="112"/>
      <c r="L55" s="484">
        <f t="shared" si="12"/>
        <v>0</v>
      </c>
      <c r="M55" s="112"/>
      <c r="N55" s="484">
        <f t="shared" si="13"/>
        <v>0</v>
      </c>
      <c r="O55" s="484">
        <f t="shared" si="14"/>
        <v>0</v>
      </c>
      <c r="P55" s="465"/>
    </row>
    <row r="56" spans="2:16">
      <c r="B56" t="str">
        <f t="shared" si="0"/>
        <v/>
      </c>
      <c r="C56" s="479">
        <f>IF(D11="","-",+C55+1)</f>
        <v>2063</v>
      </c>
      <c r="D56" s="481">
        <f>IF(F55+SUM(E$17:E55)=D$10,F55,D$10-SUM(E$17:E55))</f>
        <v>0</v>
      </c>
      <c r="E56" s="55">
        <f t="shared" si="8"/>
        <v>0</v>
      </c>
      <c r="F56" s="481">
        <f t="shared" si="9"/>
        <v>0</v>
      </c>
      <c r="G56" s="485">
        <f t="shared" si="10"/>
        <v>0</v>
      </c>
      <c r="H56" s="478">
        <f t="shared" si="11"/>
        <v>0</v>
      </c>
      <c r="I56" s="482">
        <f t="shared" si="4"/>
        <v>0</v>
      </c>
      <c r="J56" s="482"/>
      <c r="K56" s="112"/>
      <c r="L56" s="484">
        <f t="shared" si="12"/>
        <v>0</v>
      </c>
      <c r="M56" s="112"/>
      <c r="N56" s="484">
        <f t="shared" si="13"/>
        <v>0</v>
      </c>
      <c r="O56" s="484">
        <f t="shared" si="14"/>
        <v>0</v>
      </c>
      <c r="P56" s="465"/>
    </row>
    <row r="57" spans="2:16">
      <c r="B57" t="str">
        <f t="shared" si="0"/>
        <v/>
      </c>
      <c r="C57" s="479">
        <f>IF(D11="","-",+C56+1)</f>
        <v>2064</v>
      </c>
      <c r="D57" s="481">
        <f>IF(F56+SUM(E$17:E56)=D$10,F56,D$10-SUM(E$17:E56))</f>
        <v>0</v>
      </c>
      <c r="E57" s="55">
        <f t="shared" si="8"/>
        <v>0</v>
      </c>
      <c r="F57" s="481">
        <f t="shared" si="9"/>
        <v>0</v>
      </c>
      <c r="G57" s="485">
        <f t="shared" si="10"/>
        <v>0</v>
      </c>
      <c r="H57" s="478">
        <f t="shared" si="11"/>
        <v>0</v>
      </c>
      <c r="I57" s="482">
        <f t="shared" si="4"/>
        <v>0</v>
      </c>
      <c r="J57" s="482"/>
      <c r="K57" s="112"/>
      <c r="L57" s="484">
        <f t="shared" si="12"/>
        <v>0</v>
      </c>
      <c r="M57" s="112"/>
      <c r="N57" s="484">
        <f t="shared" si="13"/>
        <v>0</v>
      </c>
      <c r="O57" s="484">
        <f t="shared" si="14"/>
        <v>0</v>
      </c>
      <c r="P57" s="465"/>
    </row>
    <row r="58" spans="2:16">
      <c r="B58" t="str">
        <f t="shared" si="0"/>
        <v/>
      </c>
      <c r="C58" s="479">
        <f>IF(D11="","-",+C57+1)</f>
        <v>2065</v>
      </c>
      <c r="D58" s="481">
        <f>IF(F57+SUM(E$17:E57)=D$10,F57,D$10-SUM(E$17:E57))</f>
        <v>0</v>
      </c>
      <c r="E58" s="55">
        <f t="shared" si="8"/>
        <v>0</v>
      </c>
      <c r="F58" s="481">
        <f t="shared" si="9"/>
        <v>0</v>
      </c>
      <c r="G58" s="485">
        <f t="shared" si="10"/>
        <v>0</v>
      </c>
      <c r="H58" s="478">
        <f t="shared" si="11"/>
        <v>0</v>
      </c>
      <c r="I58" s="482">
        <f t="shared" si="4"/>
        <v>0</v>
      </c>
      <c r="J58" s="482"/>
      <c r="K58" s="112"/>
      <c r="L58" s="484">
        <f t="shared" si="12"/>
        <v>0</v>
      </c>
      <c r="M58" s="112"/>
      <c r="N58" s="484">
        <f t="shared" si="13"/>
        <v>0</v>
      </c>
      <c r="O58" s="484">
        <f t="shared" si="14"/>
        <v>0</v>
      </c>
      <c r="P58" s="465"/>
    </row>
    <row r="59" spans="2:16">
      <c r="B59" t="str">
        <f t="shared" si="0"/>
        <v/>
      </c>
      <c r="C59" s="479">
        <f>IF(D11="","-",+C58+1)</f>
        <v>2066</v>
      </c>
      <c r="D59" s="481">
        <f>IF(F58+SUM(E$17:E58)=D$10,F58,D$10-SUM(E$17:E58))</f>
        <v>0</v>
      </c>
      <c r="E59" s="55">
        <f t="shared" si="8"/>
        <v>0</v>
      </c>
      <c r="F59" s="481">
        <f t="shared" si="9"/>
        <v>0</v>
      </c>
      <c r="G59" s="485">
        <f t="shared" si="10"/>
        <v>0</v>
      </c>
      <c r="H59" s="478">
        <f t="shared" si="11"/>
        <v>0</v>
      </c>
      <c r="I59" s="482">
        <f t="shared" si="4"/>
        <v>0</v>
      </c>
      <c r="J59" s="482"/>
      <c r="K59" s="112"/>
      <c r="L59" s="484">
        <f t="shared" si="12"/>
        <v>0</v>
      </c>
      <c r="M59" s="112"/>
      <c r="N59" s="484">
        <f t="shared" si="13"/>
        <v>0</v>
      </c>
      <c r="O59" s="484">
        <f t="shared" si="14"/>
        <v>0</v>
      </c>
      <c r="P59" s="465"/>
    </row>
    <row r="60" spans="2:16">
      <c r="B60" t="str">
        <f t="shared" si="0"/>
        <v/>
      </c>
      <c r="C60" s="479">
        <f>IF(D11="","-",+C59+1)</f>
        <v>2067</v>
      </c>
      <c r="D60" s="481">
        <f>IF(F59+SUM(E$17:E59)=D$10,F59,D$10-SUM(E$17:E59))</f>
        <v>0</v>
      </c>
      <c r="E60" s="55">
        <f t="shared" si="8"/>
        <v>0</v>
      </c>
      <c r="F60" s="481">
        <f t="shared" si="9"/>
        <v>0</v>
      </c>
      <c r="G60" s="485">
        <f t="shared" si="10"/>
        <v>0</v>
      </c>
      <c r="H60" s="478">
        <f t="shared" si="11"/>
        <v>0</v>
      </c>
      <c r="I60" s="482">
        <f t="shared" si="4"/>
        <v>0</v>
      </c>
      <c r="J60" s="482"/>
      <c r="K60" s="112"/>
      <c r="L60" s="484">
        <f t="shared" si="12"/>
        <v>0</v>
      </c>
      <c r="M60" s="112"/>
      <c r="N60" s="484">
        <f t="shared" si="13"/>
        <v>0</v>
      </c>
      <c r="O60" s="484">
        <f t="shared" si="14"/>
        <v>0</v>
      </c>
      <c r="P60" s="465"/>
    </row>
    <row r="61" spans="2:16">
      <c r="B61" t="str">
        <f t="shared" si="0"/>
        <v/>
      </c>
      <c r="C61" s="479">
        <f>IF(D11="","-",+C60+1)</f>
        <v>2068</v>
      </c>
      <c r="D61" s="481">
        <f>IF(F60+SUM(E$17:E60)=D$10,F60,D$10-SUM(E$17:E60))</f>
        <v>0</v>
      </c>
      <c r="E61" s="55">
        <f t="shared" si="8"/>
        <v>0</v>
      </c>
      <c r="F61" s="481">
        <f t="shared" si="9"/>
        <v>0</v>
      </c>
      <c r="G61" s="486">
        <f t="shared" si="10"/>
        <v>0</v>
      </c>
      <c r="H61" s="478">
        <f t="shared" si="11"/>
        <v>0</v>
      </c>
      <c r="I61" s="482">
        <f t="shared" si="4"/>
        <v>0</v>
      </c>
      <c r="J61" s="482"/>
      <c r="K61" s="112"/>
      <c r="L61" s="484">
        <f t="shared" si="12"/>
        <v>0</v>
      </c>
      <c r="M61" s="112"/>
      <c r="N61" s="484">
        <f t="shared" si="13"/>
        <v>0</v>
      </c>
      <c r="O61" s="484">
        <f t="shared" si="14"/>
        <v>0</v>
      </c>
      <c r="P61" s="465"/>
    </row>
    <row r="62" spans="2:16">
      <c r="B62" t="str">
        <f t="shared" si="0"/>
        <v/>
      </c>
      <c r="C62" s="479">
        <f>IF(D11="","-",+C61+1)</f>
        <v>2069</v>
      </c>
      <c r="D62" s="481">
        <f>IF(F61+SUM(E$17:E61)=D$10,F61,D$10-SUM(E$17:E61))</f>
        <v>0</v>
      </c>
      <c r="E62" s="55">
        <f t="shared" si="8"/>
        <v>0</v>
      </c>
      <c r="F62" s="481">
        <f t="shared" si="9"/>
        <v>0</v>
      </c>
      <c r="G62" s="486">
        <f t="shared" si="10"/>
        <v>0</v>
      </c>
      <c r="H62" s="478">
        <f t="shared" si="11"/>
        <v>0</v>
      </c>
      <c r="I62" s="482">
        <f t="shared" si="4"/>
        <v>0</v>
      </c>
      <c r="J62" s="482"/>
      <c r="K62" s="112"/>
      <c r="L62" s="484">
        <f t="shared" si="12"/>
        <v>0</v>
      </c>
      <c r="M62" s="112"/>
      <c r="N62" s="484">
        <f t="shared" si="13"/>
        <v>0</v>
      </c>
      <c r="O62" s="484">
        <f t="shared" si="14"/>
        <v>0</v>
      </c>
      <c r="P62" s="465"/>
    </row>
    <row r="63" spans="2:16">
      <c r="B63" t="str">
        <f t="shared" si="0"/>
        <v/>
      </c>
      <c r="C63" s="479">
        <f>IF(D11="","-",+C62+1)</f>
        <v>2070</v>
      </c>
      <c r="D63" s="481">
        <f>IF(F62+SUM(E$17:E62)=D$10,F62,D$10-SUM(E$17:E62))</f>
        <v>0</v>
      </c>
      <c r="E63" s="55">
        <f t="shared" si="8"/>
        <v>0</v>
      </c>
      <c r="F63" s="481">
        <f t="shared" si="9"/>
        <v>0</v>
      </c>
      <c r="G63" s="486">
        <f t="shared" si="10"/>
        <v>0</v>
      </c>
      <c r="H63" s="478">
        <f t="shared" si="11"/>
        <v>0</v>
      </c>
      <c r="I63" s="482">
        <f t="shared" si="4"/>
        <v>0</v>
      </c>
      <c r="J63" s="482"/>
      <c r="K63" s="112"/>
      <c r="L63" s="484">
        <f t="shared" si="12"/>
        <v>0</v>
      </c>
      <c r="M63" s="112"/>
      <c r="N63" s="484">
        <f t="shared" si="13"/>
        <v>0</v>
      </c>
      <c r="O63" s="484">
        <f t="shared" si="14"/>
        <v>0</v>
      </c>
      <c r="P63" s="465"/>
    </row>
    <row r="64" spans="2:16">
      <c r="B64" t="str">
        <f t="shared" si="0"/>
        <v/>
      </c>
      <c r="C64" s="479">
        <f>IF(D11="","-",+C63+1)</f>
        <v>2071</v>
      </c>
      <c r="D64" s="481">
        <f>IF(F63+SUM(E$17:E63)=D$10,F63,D$10-SUM(E$17:E63))</f>
        <v>0</v>
      </c>
      <c r="E64" s="55">
        <f t="shared" si="8"/>
        <v>0</v>
      </c>
      <c r="F64" s="481">
        <f t="shared" si="9"/>
        <v>0</v>
      </c>
      <c r="G64" s="486">
        <f t="shared" si="10"/>
        <v>0</v>
      </c>
      <c r="H64" s="478">
        <f t="shared" si="11"/>
        <v>0</v>
      </c>
      <c r="I64" s="482">
        <f t="shared" si="4"/>
        <v>0</v>
      </c>
      <c r="J64" s="482"/>
      <c r="K64" s="112"/>
      <c r="L64" s="484">
        <f t="shared" si="12"/>
        <v>0</v>
      </c>
      <c r="M64" s="112"/>
      <c r="N64" s="484">
        <f t="shared" si="13"/>
        <v>0</v>
      </c>
      <c r="O64" s="484">
        <f t="shared" si="14"/>
        <v>0</v>
      </c>
      <c r="P64" s="465"/>
    </row>
    <row r="65" spans="2:16">
      <c r="B65" t="str">
        <f t="shared" si="0"/>
        <v/>
      </c>
      <c r="C65" s="479">
        <f>IF(D11="","-",+C64+1)</f>
        <v>2072</v>
      </c>
      <c r="D65" s="481">
        <f>IF(F64+SUM(E$17:E64)=D$10,F64,D$10-SUM(E$17:E64))</f>
        <v>0</v>
      </c>
      <c r="E65" s="55">
        <f t="shared" si="8"/>
        <v>0</v>
      </c>
      <c r="F65" s="481">
        <f t="shared" si="9"/>
        <v>0</v>
      </c>
      <c r="G65" s="486">
        <f t="shared" si="10"/>
        <v>0</v>
      </c>
      <c r="H65" s="478">
        <f t="shared" si="11"/>
        <v>0</v>
      </c>
      <c r="I65" s="482">
        <f t="shared" si="4"/>
        <v>0</v>
      </c>
      <c r="J65" s="482"/>
      <c r="K65" s="112"/>
      <c r="L65" s="484">
        <f t="shared" si="12"/>
        <v>0</v>
      </c>
      <c r="M65" s="112"/>
      <c r="N65" s="484">
        <f t="shared" si="13"/>
        <v>0</v>
      </c>
      <c r="O65" s="484">
        <f t="shared" si="14"/>
        <v>0</v>
      </c>
      <c r="P65" s="465"/>
    </row>
    <row r="66" spans="2:16">
      <c r="B66" t="str">
        <f t="shared" si="0"/>
        <v/>
      </c>
      <c r="C66" s="479">
        <f>IF(D11="","-",+C65+1)</f>
        <v>2073</v>
      </c>
      <c r="D66" s="481">
        <f>IF(F65+SUM(E$17:E65)=D$10,F65,D$10-SUM(E$17:E65))</f>
        <v>0</v>
      </c>
      <c r="E66" s="55">
        <f t="shared" si="8"/>
        <v>0</v>
      </c>
      <c r="F66" s="481">
        <f t="shared" si="9"/>
        <v>0</v>
      </c>
      <c r="G66" s="486">
        <f t="shared" si="10"/>
        <v>0</v>
      </c>
      <c r="H66" s="478">
        <f t="shared" si="11"/>
        <v>0</v>
      </c>
      <c r="I66" s="482">
        <f t="shared" si="4"/>
        <v>0</v>
      </c>
      <c r="J66" s="482"/>
      <c r="K66" s="112"/>
      <c r="L66" s="484">
        <f t="shared" si="12"/>
        <v>0</v>
      </c>
      <c r="M66" s="112"/>
      <c r="N66" s="484">
        <f t="shared" si="13"/>
        <v>0</v>
      </c>
      <c r="O66" s="484">
        <f t="shared" si="14"/>
        <v>0</v>
      </c>
      <c r="P66" s="465"/>
    </row>
    <row r="67" spans="2:16">
      <c r="B67" t="str">
        <f t="shared" si="0"/>
        <v/>
      </c>
      <c r="C67" s="479">
        <f>IF(D11="","-",+C66+1)</f>
        <v>2074</v>
      </c>
      <c r="D67" s="481">
        <f>IF(F66+SUM(E$17:E66)=D$10,F66,D$10-SUM(E$17:E66))</f>
        <v>0</v>
      </c>
      <c r="E67" s="55">
        <f t="shared" si="8"/>
        <v>0</v>
      </c>
      <c r="F67" s="481">
        <f t="shared" si="9"/>
        <v>0</v>
      </c>
      <c r="G67" s="486">
        <f t="shared" si="10"/>
        <v>0</v>
      </c>
      <c r="H67" s="478">
        <f t="shared" si="11"/>
        <v>0</v>
      </c>
      <c r="I67" s="482">
        <f t="shared" si="4"/>
        <v>0</v>
      </c>
      <c r="J67" s="482"/>
      <c r="K67" s="112"/>
      <c r="L67" s="484">
        <f t="shared" si="12"/>
        <v>0</v>
      </c>
      <c r="M67" s="112"/>
      <c r="N67" s="484">
        <f t="shared" si="13"/>
        <v>0</v>
      </c>
      <c r="O67" s="484">
        <f t="shared" si="14"/>
        <v>0</v>
      </c>
      <c r="P67" s="465"/>
    </row>
    <row r="68" spans="2:16">
      <c r="B68" t="str">
        <f t="shared" si="0"/>
        <v/>
      </c>
      <c r="C68" s="479">
        <f>IF(D11="","-",+C67+1)</f>
        <v>2075</v>
      </c>
      <c r="D68" s="481">
        <f>IF(F67+SUM(E$17:E67)=D$10,F67,D$10-SUM(E$17:E67))</f>
        <v>0</v>
      </c>
      <c r="E68" s="55">
        <f t="shared" si="8"/>
        <v>0</v>
      </c>
      <c r="F68" s="481">
        <f t="shared" si="9"/>
        <v>0</v>
      </c>
      <c r="G68" s="486">
        <f t="shared" si="10"/>
        <v>0</v>
      </c>
      <c r="H68" s="478">
        <f t="shared" si="11"/>
        <v>0</v>
      </c>
      <c r="I68" s="482">
        <f t="shared" si="4"/>
        <v>0</v>
      </c>
      <c r="J68" s="482"/>
      <c r="K68" s="112"/>
      <c r="L68" s="484">
        <f t="shared" si="12"/>
        <v>0</v>
      </c>
      <c r="M68" s="112"/>
      <c r="N68" s="484">
        <f t="shared" si="13"/>
        <v>0</v>
      </c>
      <c r="O68" s="484">
        <f t="shared" si="14"/>
        <v>0</v>
      </c>
      <c r="P68" s="465"/>
    </row>
    <row r="69" spans="2:16">
      <c r="B69" t="str">
        <f t="shared" si="0"/>
        <v/>
      </c>
      <c r="C69" s="479">
        <f>IF(D11="","-",+C68+1)</f>
        <v>2076</v>
      </c>
      <c r="D69" s="481">
        <f>IF(F68+SUM(E$17:E68)=D$10,F68,D$10-SUM(E$17:E68))</f>
        <v>0</v>
      </c>
      <c r="E69" s="55">
        <f t="shared" si="8"/>
        <v>0</v>
      </c>
      <c r="F69" s="481">
        <f t="shared" si="9"/>
        <v>0</v>
      </c>
      <c r="G69" s="486">
        <f t="shared" si="10"/>
        <v>0</v>
      </c>
      <c r="H69" s="478">
        <f t="shared" si="11"/>
        <v>0</v>
      </c>
      <c r="I69" s="482">
        <f t="shared" si="4"/>
        <v>0</v>
      </c>
      <c r="J69" s="482"/>
      <c r="K69" s="112"/>
      <c r="L69" s="484">
        <f t="shared" si="12"/>
        <v>0</v>
      </c>
      <c r="M69" s="112"/>
      <c r="N69" s="484">
        <f t="shared" si="13"/>
        <v>0</v>
      </c>
      <c r="O69" s="484">
        <f t="shared" si="14"/>
        <v>0</v>
      </c>
      <c r="P69" s="465"/>
    </row>
    <row r="70" spans="2:16">
      <c r="B70" t="str">
        <f t="shared" si="0"/>
        <v/>
      </c>
      <c r="C70" s="479">
        <f>IF(D11="","-",+C69+1)</f>
        <v>2077</v>
      </c>
      <c r="D70" s="481">
        <f>IF(F69+SUM(E$17:E69)=D$10,F69,D$10-SUM(E$17:E69))</f>
        <v>0</v>
      </c>
      <c r="E70" s="55">
        <f t="shared" si="8"/>
        <v>0</v>
      </c>
      <c r="F70" s="481">
        <f t="shared" si="9"/>
        <v>0</v>
      </c>
      <c r="G70" s="486">
        <f t="shared" si="10"/>
        <v>0</v>
      </c>
      <c r="H70" s="478">
        <f t="shared" si="11"/>
        <v>0</v>
      </c>
      <c r="I70" s="482">
        <f t="shared" si="4"/>
        <v>0</v>
      </c>
      <c r="J70" s="482"/>
      <c r="K70" s="112"/>
      <c r="L70" s="484">
        <f t="shared" si="12"/>
        <v>0</v>
      </c>
      <c r="M70" s="112"/>
      <c r="N70" s="484">
        <f t="shared" si="13"/>
        <v>0</v>
      </c>
      <c r="O70" s="484">
        <f t="shared" si="14"/>
        <v>0</v>
      </c>
      <c r="P70" s="465"/>
    </row>
    <row r="71" spans="2:16">
      <c r="B71" t="str">
        <f t="shared" si="0"/>
        <v/>
      </c>
      <c r="C71" s="479">
        <f>IF(D11="","-",+C70+1)</f>
        <v>2078</v>
      </c>
      <c r="D71" s="481">
        <f>IF(F70+SUM(E$17:E70)=D$10,F70,D$10-SUM(E$17:E70))</f>
        <v>0</v>
      </c>
      <c r="E71" s="55">
        <f t="shared" si="8"/>
        <v>0</v>
      </c>
      <c r="F71" s="481">
        <f t="shared" si="9"/>
        <v>0</v>
      </c>
      <c r="G71" s="486">
        <f t="shared" si="10"/>
        <v>0</v>
      </c>
      <c r="H71" s="478">
        <f t="shared" si="11"/>
        <v>0</v>
      </c>
      <c r="I71" s="482">
        <f t="shared" si="4"/>
        <v>0</v>
      </c>
      <c r="J71" s="482"/>
      <c r="K71" s="112"/>
      <c r="L71" s="484">
        <f t="shared" si="12"/>
        <v>0</v>
      </c>
      <c r="M71" s="112"/>
      <c r="N71" s="484">
        <f t="shared" si="13"/>
        <v>0</v>
      </c>
      <c r="O71" s="484">
        <f t="shared" si="14"/>
        <v>0</v>
      </c>
      <c r="P71" s="465"/>
    </row>
    <row r="72" spans="2:16">
      <c r="C72" s="479">
        <f>IF(D12="","-",+C71+1)</f>
        <v>2079</v>
      </c>
      <c r="D72" s="481">
        <f>IF(F71+SUM(E$17:E71)=D$10,F71,D$10-SUM(E$17:E71))</f>
        <v>0</v>
      </c>
      <c r="E72" s="55">
        <f>IF(+I$14&lt;F71,I$14,D72)</f>
        <v>0</v>
      </c>
      <c r="F72" s="481">
        <f>+D72-E72</f>
        <v>0</v>
      </c>
      <c r="G72" s="486">
        <f>(D72+F72)/2*I$12+E72</f>
        <v>0</v>
      </c>
      <c r="H72" s="478">
        <f>+(D72+F72)/2*I$13+E72</f>
        <v>0</v>
      </c>
      <c r="I72" s="482">
        <f>H72-G72</f>
        <v>0</v>
      </c>
      <c r="J72" s="482"/>
      <c r="K72" s="112"/>
      <c r="L72" s="484">
        <f>IF(K72&lt;&gt;0,+G72-K72,0)</f>
        <v>0</v>
      </c>
      <c r="M72" s="112"/>
      <c r="N72" s="484">
        <f>IF(M72&lt;&gt;0,+H72-M72,0)</f>
        <v>0</v>
      </c>
      <c r="O72" s="484">
        <f>+N72-L72</f>
        <v>0</v>
      </c>
      <c r="P72" s="465"/>
    </row>
    <row r="73" spans="2:16" ht="13.5" thickBot="1">
      <c r="B73" t="str">
        <f>IF(D73=F71,"","IU")</f>
        <v/>
      </c>
      <c r="C73" s="487">
        <f>IF(D13="","-",+C72+1)</f>
        <v>2080</v>
      </c>
      <c r="D73" s="60">
        <f>IF(F72+SUM(E$17:E72)=D$10,F72,D$10-SUM(E$17:E72))</f>
        <v>0</v>
      </c>
      <c r="E73" s="60">
        <f>IF(+I$14&lt;F72,I$14,D73)</f>
        <v>0</v>
      </c>
      <c r="F73" s="488">
        <f>+D73-E73</f>
        <v>0</v>
      </c>
      <c r="G73" s="489">
        <f>(D73+F73)/2*I$12+E73</f>
        <v>0</v>
      </c>
      <c r="H73" s="471">
        <f>+(D73+F73)/2*I$13+E73</f>
        <v>0</v>
      </c>
      <c r="I73" s="490">
        <f>H73-G73</f>
        <v>0</v>
      </c>
      <c r="J73" s="482"/>
      <c r="K73" s="113"/>
      <c r="L73" s="491">
        <f>IF(K73&lt;&gt;0,+G73-K73,0)</f>
        <v>0</v>
      </c>
      <c r="M73" s="113"/>
      <c r="N73" s="491">
        <f>IF(M73&lt;&gt;0,+H73-M73,0)</f>
        <v>0</v>
      </c>
      <c r="O73" s="491">
        <f>+N73-L73</f>
        <v>0</v>
      </c>
      <c r="P73" s="465"/>
    </row>
    <row r="74" spans="2:16">
      <c r="C74" s="480" t="s">
        <v>75</v>
      </c>
      <c r="D74" s="468"/>
      <c r="E74" s="468">
        <f>SUM(E17:E73)</f>
        <v>7893080.0000000009</v>
      </c>
      <c r="F74" s="468"/>
      <c r="G74" s="468">
        <f>SUM(G17:G73)</f>
        <v>21394302.322606586</v>
      </c>
      <c r="H74" s="468">
        <f>SUM(H17:H73)</f>
        <v>21394302.322606586</v>
      </c>
      <c r="I74" s="468">
        <f>SUM(I17:I73)</f>
        <v>0</v>
      </c>
      <c r="J74" s="468"/>
      <c r="K74" s="468"/>
      <c r="L74" s="468"/>
      <c r="M74" s="468"/>
      <c r="N74" s="468"/>
      <c r="O74" s="465"/>
      <c r="P74" s="465"/>
    </row>
    <row r="75" spans="2:16">
      <c r="D75" s="466"/>
      <c r="E75" s="465"/>
      <c r="F75" s="465"/>
      <c r="G75" s="465"/>
      <c r="H75" s="467"/>
      <c r="I75" s="467"/>
      <c r="J75" s="468"/>
      <c r="K75" s="467"/>
      <c r="L75" s="467"/>
      <c r="M75" s="467"/>
      <c r="N75" s="467"/>
      <c r="O75" s="465"/>
      <c r="P75" s="465"/>
    </row>
    <row r="76" spans="2:16">
      <c r="C76" s="29" t="s">
        <v>95</v>
      </c>
      <c r="D76" s="466"/>
      <c r="E76" s="465"/>
      <c r="F76" s="465"/>
      <c r="G76" s="465"/>
      <c r="H76" s="467"/>
      <c r="I76" s="467"/>
      <c r="J76" s="468"/>
      <c r="K76" s="467"/>
      <c r="L76" s="467"/>
      <c r="M76" s="467"/>
      <c r="N76" s="467"/>
      <c r="O76" s="465"/>
      <c r="P76" s="465"/>
    </row>
    <row r="77" spans="2:16">
      <c r="C77" s="25" t="s">
        <v>76</v>
      </c>
      <c r="D77" s="466"/>
      <c r="E77" s="465"/>
      <c r="F77" s="465"/>
      <c r="G77" s="465"/>
      <c r="H77" s="467"/>
      <c r="I77" s="467"/>
      <c r="J77" s="468"/>
      <c r="K77" s="467"/>
      <c r="L77" s="467"/>
      <c r="M77" s="467"/>
      <c r="N77" s="467"/>
      <c r="O77" s="465"/>
      <c r="P77" s="465"/>
    </row>
    <row r="78" spans="2:16">
      <c r="C78" s="25" t="s">
        <v>77</v>
      </c>
      <c r="D78" s="480"/>
      <c r="E78" s="480"/>
      <c r="F78" s="480"/>
      <c r="G78" s="468"/>
      <c r="H78" s="468"/>
      <c r="I78" s="492"/>
      <c r="J78" s="492"/>
      <c r="K78" s="492"/>
      <c r="L78" s="492"/>
      <c r="M78" s="492"/>
      <c r="N78" s="492"/>
      <c r="O78" s="465"/>
      <c r="P78" s="465"/>
    </row>
    <row r="79" spans="2:16">
      <c r="C79" s="25"/>
      <c r="D79" s="480"/>
      <c r="E79" s="480"/>
      <c r="F79" s="480"/>
      <c r="G79" s="468"/>
      <c r="H79" s="468"/>
      <c r="I79" s="492"/>
      <c r="J79" s="492"/>
      <c r="K79" s="492"/>
      <c r="L79" s="492"/>
      <c r="M79" s="492"/>
      <c r="N79" s="492"/>
      <c r="O79" s="465"/>
      <c r="P79" s="465"/>
    </row>
    <row r="80" spans="2:16">
      <c r="B80" s="465"/>
      <c r="C80" s="465"/>
      <c r="D80" s="466"/>
      <c r="E80" s="465"/>
      <c r="F80" s="480"/>
      <c r="G80" s="465"/>
      <c r="H80" s="467"/>
      <c r="I80" s="465"/>
      <c r="J80" s="465"/>
      <c r="K80" s="465"/>
      <c r="L80" s="465"/>
      <c r="M80" s="465"/>
      <c r="N80" s="465"/>
      <c r="O80" s="465"/>
      <c r="P80" s="465"/>
    </row>
    <row r="81" spans="1:16" ht="18">
      <c r="B81" s="465"/>
      <c r="C81" s="493"/>
      <c r="D81" s="466"/>
      <c r="E81" s="465"/>
      <c r="F81" s="480"/>
      <c r="G81" s="465"/>
      <c r="H81" s="467"/>
      <c r="I81" s="465"/>
      <c r="J81" s="465"/>
      <c r="K81" s="465"/>
      <c r="L81" s="465"/>
      <c r="M81" s="465"/>
      <c r="N81" s="465"/>
      <c r="P81" s="94" t="s">
        <v>128</v>
      </c>
    </row>
    <row r="82" spans="1:16">
      <c r="B82" s="465"/>
      <c r="C82" s="465"/>
      <c r="D82" s="466"/>
      <c r="E82" s="465"/>
      <c r="F82" s="480"/>
      <c r="G82" s="465"/>
      <c r="H82" s="467"/>
      <c r="I82" s="465"/>
      <c r="J82" s="465"/>
      <c r="K82" s="465"/>
      <c r="L82" s="465"/>
      <c r="M82" s="465"/>
      <c r="N82" s="465"/>
      <c r="O82" s="465"/>
      <c r="P82" s="465"/>
    </row>
    <row r="83" spans="1:16">
      <c r="B83" s="465"/>
      <c r="C83" s="465"/>
      <c r="D83" s="466"/>
      <c r="E83" s="465"/>
      <c r="F83" s="480"/>
      <c r="G83" s="465"/>
      <c r="H83" s="467"/>
      <c r="I83" s="465"/>
      <c r="J83" s="465"/>
      <c r="K83" s="465"/>
      <c r="L83" s="465"/>
      <c r="M83" s="465"/>
      <c r="N83" s="465"/>
      <c r="O83" s="465"/>
      <c r="P83" s="465"/>
    </row>
    <row r="84" spans="1:16" ht="20.25">
      <c r="A84" s="93" t="s">
        <v>190</v>
      </c>
      <c r="B84" s="465"/>
      <c r="C84" s="465"/>
      <c r="D84" s="466"/>
      <c r="E84" s="465"/>
      <c r="F84" s="280"/>
      <c r="G84" s="280"/>
      <c r="H84" s="465"/>
      <c r="I84" s="467"/>
      <c r="L84" s="12"/>
      <c r="M84" s="12"/>
      <c r="P84" s="12" t="str">
        <f ca="1">P1</f>
        <v>OKT Project 23 of 26</v>
      </c>
    </row>
    <row r="85" spans="1:16" ht="18">
      <c r="B85" s="465"/>
      <c r="C85" s="465"/>
      <c r="D85" s="466"/>
      <c r="E85" s="465"/>
      <c r="F85" s="465"/>
      <c r="G85" s="465"/>
      <c r="H85" s="465"/>
      <c r="I85" s="467"/>
      <c r="J85" s="465"/>
      <c r="K85" s="465"/>
      <c r="L85" s="465"/>
      <c r="M85" s="465"/>
      <c r="P85" s="99" t="s">
        <v>132</v>
      </c>
    </row>
    <row r="86" spans="1:16" ht="18.75" thickBot="1">
      <c r="B86" s="4" t="s">
        <v>42</v>
      </c>
      <c r="C86" s="66" t="s">
        <v>81</v>
      </c>
      <c r="D86" s="466"/>
      <c r="E86" s="465"/>
      <c r="F86" s="465"/>
      <c r="G86" s="465"/>
      <c r="H86" s="465"/>
      <c r="I86" s="467"/>
      <c r="J86" s="467"/>
      <c r="K86" s="468"/>
      <c r="L86" s="467"/>
      <c r="M86" s="467"/>
      <c r="N86" s="467"/>
      <c r="O86" s="468"/>
      <c r="P86" s="465"/>
    </row>
    <row r="87" spans="1:16" ht="15.75" thickBot="1">
      <c r="C87" s="8"/>
      <c r="D87" s="466"/>
      <c r="E87" s="465"/>
      <c r="F87" s="465"/>
      <c r="G87" s="465"/>
      <c r="H87" s="465"/>
      <c r="I87" s="467"/>
      <c r="J87" s="467"/>
      <c r="K87" s="468"/>
      <c r="L87" s="100">
        <f>+J93</f>
        <v>2025</v>
      </c>
      <c r="M87" s="494" t="s">
        <v>9</v>
      </c>
      <c r="N87" s="495" t="s">
        <v>134</v>
      </c>
      <c r="O87" s="496" t="s">
        <v>11</v>
      </c>
      <c r="P87" s="465"/>
    </row>
    <row r="88" spans="1:16" ht="15">
      <c r="C88" s="90" t="s">
        <v>44</v>
      </c>
      <c r="D88" s="466"/>
      <c r="E88" s="465"/>
      <c r="F88" s="465"/>
      <c r="G88" s="465"/>
      <c r="H88" s="15"/>
      <c r="I88" s="465" t="s">
        <v>45</v>
      </c>
      <c r="J88" s="465"/>
      <c r="K88" s="104"/>
      <c r="L88" s="497" t="s">
        <v>253</v>
      </c>
      <c r="M88" s="67">
        <f>IF(J93&lt;D11,0,VLOOKUP(J93,C17:O73,9))</f>
        <v>1128397.597246838</v>
      </c>
      <c r="N88" s="67">
        <f>IF(J93&lt;D11,0,VLOOKUP(J93,C17:O73,11))</f>
        <v>1128397.597246838</v>
      </c>
      <c r="O88" s="498">
        <f>+N88-M88</f>
        <v>0</v>
      </c>
      <c r="P88" s="465"/>
    </row>
    <row r="89" spans="1:16" ht="15.75">
      <c r="C89" s="6"/>
      <c r="D89" s="466"/>
      <c r="E89" s="465"/>
      <c r="F89" s="465"/>
      <c r="G89" s="465"/>
      <c r="H89" s="465"/>
      <c r="I89" s="20"/>
      <c r="J89" s="20"/>
      <c r="K89" s="106"/>
      <c r="L89" s="499" t="s">
        <v>254</v>
      </c>
      <c r="M89" s="69">
        <f>IF(J93&lt;D11,0,VLOOKUP(J93,C100:P155,6))</f>
        <v>423492.29223003506</v>
      </c>
      <c r="N89" s="69">
        <f>IF(J93&lt;D11,0,VLOOKUP(J93,C100:P155,7))</f>
        <v>423492.29223003506</v>
      </c>
      <c r="O89" s="500">
        <f>+N89-M89</f>
        <v>0</v>
      </c>
      <c r="P89" s="465"/>
    </row>
    <row r="90" spans="1:16" ht="13.5" thickBot="1">
      <c r="C90" s="25" t="s">
        <v>82</v>
      </c>
      <c r="D90" s="96" t="str">
        <f>+D7</f>
        <v>Chisholm Substation 345 kV Terminal Upgrades</v>
      </c>
      <c r="E90" s="465"/>
      <c r="F90" s="465"/>
      <c r="G90" s="465"/>
      <c r="H90" s="465"/>
      <c r="I90" s="467"/>
      <c r="J90" s="467"/>
      <c r="K90" s="108"/>
      <c r="L90" s="501" t="s">
        <v>135</v>
      </c>
      <c r="M90" s="72">
        <f>+M89-M88</f>
        <v>-704905.30501680297</v>
      </c>
      <c r="N90" s="72">
        <f>+N89-N88</f>
        <v>-704905.30501680297</v>
      </c>
      <c r="O90" s="73">
        <f>+O89-O88</f>
        <v>0</v>
      </c>
      <c r="P90" s="465"/>
    </row>
    <row r="91" spans="1:16" ht="13.5" thickBot="1">
      <c r="C91" s="29"/>
      <c r="D91" s="65" t="str">
        <f>IF(D8="","",D8)</f>
        <v/>
      </c>
      <c r="E91" s="480"/>
      <c r="F91" s="480"/>
      <c r="G91" s="480"/>
      <c r="H91" s="472"/>
      <c r="I91" s="467"/>
      <c r="J91" s="467"/>
      <c r="K91" s="468"/>
      <c r="L91" s="467"/>
      <c r="M91" s="467"/>
      <c r="N91" s="467"/>
      <c r="O91" s="468"/>
      <c r="P91" s="465"/>
    </row>
    <row r="92" spans="1:16" ht="13.5" thickBot="1">
      <c r="C92" s="502" t="s">
        <v>83</v>
      </c>
      <c r="D92" s="88" t="str">
        <f>D9</f>
        <v>TP2020266</v>
      </c>
      <c r="E92" s="75" t="str">
        <f>E9</f>
        <v xml:space="preserve">  SPP Project ID = </v>
      </c>
      <c r="F92" s="75">
        <f>F9</f>
        <v>81717</v>
      </c>
      <c r="G92" s="75"/>
      <c r="H92" s="75"/>
      <c r="I92" s="75"/>
      <c r="J92" s="75"/>
    </row>
    <row r="93" spans="1:16">
      <c r="C93" s="474" t="s">
        <v>49</v>
      </c>
      <c r="D93" s="503">
        <v>17227122.16</v>
      </c>
      <c r="E93" s="465" t="s">
        <v>84</v>
      </c>
      <c r="H93" s="466"/>
      <c r="I93" s="466"/>
      <c r="J93" s="36">
        <v>2025</v>
      </c>
      <c r="K93" s="33"/>
      <c r="L93" s="468" t="s">
        <v>85</v>
      </c>
      <c r="P93" s="465"/>
    </row>
    <row r="94" spans="1:16">
      <c r="C94" s="474" t="s">
        <v>52</v>
      </c>
      <c r="D94" s="504">
        <v>2025</v>
      </c>
      <c r="E94" s="474" t="s">
        <v>53</v>
      </c>
      <c r="F94" s="466"/>
      <c r="G94" s="466"/>
      <c r="J94" s="475">
        <v>0</v>
      </c>
      <c r="K94" s="476"/>
      <c r="L94" t="str">
        <f>"          INPUT TRUE-UP ARR (WITH &amp; WITHOUT INCENTIVES) FROM EACH PRIOR YEAR"</f>
        <v xml:space="preserve">          INPUT TRUE-UP ARR (WITH &amp; WITHOUT INCENTIVES) FROM EACH PRIOR YEAR</v>
      </c>
      <c r="P94" s="465"/>
    </row>
    <row r="95" spans="1:16">
      <c r="C95" s="474" t="s">
        <v>54</v>
      </c>
      <c r="D95" s="504">
        <v>11</v>
      </c>
      <c r="E95" s="474" t="s">
        <v>55</v>
      </c>
      <c r="F95" s="466"/>
      <c r="G95" s="466"/>
      <c r="J95" s="477">
        <v>0.11475877389767174</v>
      </c>
      <c r="K95" s="280"/>
      <c r="L95" t="s">
        <v>86</v>
      </c>
      <c r="P95" s="465"/>
    </row>
    <row r="96" spans="1:16">
      <c r="C96" s="474" t="s">
        <v>57</v>
      </c>
      <c r="D96" s="475">
        <v>21</v>
      </c>
      <c r="E96" s="474" t="s">
        <v>58</v>
      </c>
      <c r="F96" s="466"/>
      <c r="G96" s="466"/>
      <c r="J96" s="477">
        <v>0.11475877389767174</v>
      </c>
      <c r="K96" s="280"/>
      <c r="L96" s="468" t="s">
        <v>59</v>
      </c>
      <c r="M96" s="280"/>
      <c r="N96" s="280"/>
      <c r="O96" s="280"/>
      <c r="P96" s="465"/>
    </row>
    <row r="97" spans="1:16" ht="13.5" thickBot="1">
      <c r="C97" s="474" t="s">
        <v>60</v>
      </c>
      <c r="D97" s="505" t="s">
        <v>61</v>
      </c>
      <c r="E97" s="506" t="s">
        <v>62</v>
      </c>
      <c r="F97" s="507"/>
      <c r="G97" s="507"/>
      <c r="H97" s="77"/>
      <c r="I97" s="77"/>
      <c r="J97" s="471">
        <f>IF(D93=0,0,D93/D96)</f>
        <v>820339.15047619049</v>
      </c>
      <c r="K97" s="468"/>
      <c r="L97" s="468"/>
      <c r="M97" s="468"/>
      <c r="N97" s="468"/>
      <c r="O97" s="468"/>
      <c r="P97" s="465"/>
    </row>
    <row r="98" spans="1:16" ht="38.25">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3.5" thickBot="1">
      <c r="B100" t="str">
        <f t="shared" ref="B100:B155" si="15">IF(D100=F99,"","IU")</f>
        <v>IU</v>
      </c>
      <c r="C100" s="479">
        <f>IF(D94= "","-",D94)</f>
        <v>2025</v>
      </c>
      <c r="D100" s="512">
        <v>0</v>
      </c>
      <c r="E100" s="512">
        <v>27495.524920634914</v>
      </c>
      <c r="F100" s="512">
        <v>6901376.7550793644</v>
      </c>
      <c r="G100" s="512">
        <v>3450688.3775396822</v>
      </c>
      <c r="H100" s="512">
        <v>423492.29223003506</v>
      </c>
      <c r="I100" s="512">
        <v>423492.29223003506</v>
      </c>
      <c r="J100" s="484">
        <f t="shared" ref="J100:J131" si="16">+I100-H100</f>
        <v>0</v>
      </c>
      <c r="K100" s="484"/>
      <c r="L100" s="376">
        <f>+H100</f>
        <v>423492.29223003506</v>
      </c>
      <c r="M100" s="484">
        <f t="shared" ref="M100:M131" si="17">IF(L100&lt;&gt;0,+H100-L100,0)</f>
        <v>0</v>
      </c>
      <c r="N100" s="376">
        <f>+I100</f>
        <v>423492.29223003506</v>
      </c>
      <c r="O100" s="483">
        <f t="shared" ref="O100:O131" si="18">IF(N100&lt;&gt;0,+I100-N100,0)</f>
        <v>0</v>
      </c>
      <c r="P100" s="483">
        <f t="shared" ref="P100:P131" si="19">+O100-M100</f>
        <v>0</v>
      </c>
    </row>
    <row r="101" spans="1:16">
      <c r="B101" t="str">
        <f t="shared" si="15"/>
        <v>IU</v>
      </c>
      <c r="C101" s="479">
        <f>IF(D94="","-",+C100+1)</f>
        <v>2026</v>
      </c>
      <c r="D101" s="480">
        <f>IF(F100+SUM(E$100:E100)=D$93,F100,D$93-SUM(E$100:E100))</f>
        <v>17199626.635079365</v>
      </c>
      <c r="E101" s="377">
        <f t="shared" ref="E101:E155" si="20">IF(+J$97&lt;F100,J$97,D101)</f>
        <v>820339.15047619049</v>
      </c>
      <c r="F101" s="481">
        <f t="shared" ref="F101:F155" si="21">+D101-E101</f>
        <v>16379287.484603174</v>
      </c>
      <c r="G101" s="481">
        <f t="shared" ref="G101:G155" si="22">+(F101+D101)/2</f>
        <v>16789457.059841268</v>
      </c>
      <c r="H101" s="459">
        <f t="shared" ref="H101:H102" si="23">(D101+F101)/2*J$95+E101</f>
        <v>2747076.657071183</v>
      </c>
      <c r="I101" s="446">
        <f t="shared" ref="I101:I155" si="24">+J$96*G101+E101</f>
        <v>2747076.657071183</v>
      </c>
      <c r="J101" s="484">
        <f t="shared" si="16"/>
        <v>0</v>
      </c>
      <c r="K101" s="484"/>
      <c r="L101" s="376">
        <f>+H101</f>
        <v>2747076.657071183</v>
      </c>
      <c r="M101" s="484">
        <f t="shared" ref="M101" si="25">IF(L101&lt;&gt;0,+H101-L101,0)</f>
        <v>0</v>
      </c>
      <c r="N101" s="376">
        <f>+I101</f>
        <v>2747076.657071183</v>
      </c>
      <c r="O101" s="483">
        <f t="shared" ref="O101" si="26">IF(N101&lt;&gt;0,+I101-N101,0)</f>
        <v>0</v>
      </c>
      <c r="P101" s="483">
        <f t="shared" ref="P101" si="27">+O101-M101</f>
        <v>0</v>
      </c>
    </row>
    <row r="102" spans="1:16">
      <c r="B102" t="str">
        <f t="shared" si="15"/>
        <v/>
      </c>
      <c r="C102" s="479">
        <f>IF(D94="","-",+C101+1)</f>
        <v>2027</v>
      </c>
      <c r="D102" s="480">
        <f>IF(F101+SUM(E$100:E101)=D$93,F101,D$93-SUM(E$100:E101))</f>
        <v>16379287.484603174</v>
      </c>
      <c r="E102" s="377">
        <f t="shared" si="20"/>
        <v>820339.15047619049</v>
      </c>
      <c r="F102" s="481">
        <f t="shared" si="21"/>
        <v>15558948.334126983</v>
      </c>
      <c r="G102" s="481">
        <f t="shared" si="22"/>
        <v>15969117.909365078</v>
      </c>
      <c r="H102" s="459">
        <f t="shared" si="23"/>
        <v>2652935.5419822782</v>
      </c>
      <c r="I102" s="446">
        <f t="shared" si="24"/>
        <v>2652935.5419822782</v>
      </c>
      <c r="J102" s="484">
        <f t="shared" si="16"/>
        <v>0</v>
      </c>
      <c r="K102" s="484"/>
      <c r="L102" s="112"/>
      <c r="M102" s="484">
        <f t="shared" si="17"/>
        <v>0</v>
      </c>
      <c r="N102" s="112"/>
      <c r="O102" s="484">
        <f t="shared" si="18"/>
        <v>0</v>
      </c>
      <c r="P102" s="484">
        <f t="shared" si="19"/>
        <v>0</v>
      </c>
    </row>
    <row r="103" spans="1:16">
      <c r="B103" t="str">
        <f t="shared" si="15"/>
        <v/>
      </c>
      <c r="C103" s="479">
        <f>IF(D94="","-",+C102+1)</f>
        <v>2028</v>
      </c>
      <c r="D103" s="480">
        <f>IF(F102+SUM(E$100:E102)=D$93,F102,D$93-SUM(E$100:E102))</f>
        <v>15558948.334126983</v>
      </c>
      <c r="E103" s="55">
        <f t="shared" si="20"/>
        <v>820339.15047619049</v>
      </c>
      <c r="F103" s="481">
        <f t="shared" si="21"/>
        <v>14738609.183650792</v>
      </c>
      <c r="G103" s="481">
        <f t="shared" si="22"/>
        <v>15148778.758888887</v>
      </c>
      <c r="H103" s="110">
        <f t="shared" ref="H103:H107" si="28">+J$95*G103+E103</f>
        <v>2558794.4268933726</v>
      </c>
      <c r="I103" s="119">
        <f t="shared" si="24"/>
        <v>2558794.4268933726</v>
      </c>
      <c r="J103" s="484">
        <f t="shared" si="16"/>
        <v>0</v>
      </c>
      <c r="K103" s="484"/>
      <c r="L103" s="112"/>
      <c r="M103" s="484">
        <f t="shared" si="17"/>
        <v>0</v>
      </c>
      <c r="N103" s="112"/>
      <c r="O103" s="484">
        <f t="shared" si="18"/>
        <v>0</v>
      </c>
      <c r="P103" s="484">
        <f t="shared" si="19"/>
        <v>0</v>
      </c>
    </row>
    <row r="104" spans="1:16">
      <c r="B104" t="str">
        <f t="shared" si="15"/>
        <v/>
      </c>
      <c r="C104" s="479">
        <f>IF(D94="","-",+C103+1)</f>
        <v>2029</v>
      </c>
      <c r="D104" s="480">
        <f>IF(F103+SUM(E$100:E103)=D$93,F103,D$93-SUM(E$100:E103))</f>
        <v>14738609.183650792</v>
      </c>
      <c r="E104" s="55">
        <f t="shared" si="20"/>
        <v>820339.15047619049</v>
      </c>
      <c r="F104" s="481">
        <f t="shared" si="21"/>
        <v>13918270.0331746</v>
      </c>
      <c r="G104" s="481">
        <f t="shared" si="22"/>
        <v>14328439.608412696</v>
      </c>
      <c r="H104" s="110">
        <f t="shared" si="28"/>
        <v>2464653.3118044673</v>
      </c>
      <c r="I104" s="119">
        <f t="shared" si="24"/>
        <v>2464653.3118044673</v>
      </c>
      <c r="J104" s="484">
        <f t="shared" si="16"/>
        <v>0</v>
      </c>
      <c r="K104" s="484"/>
      <c r="L104" s="112"/>
      <c r="M104" s="484">
        <f t="shared" si="17"/>
        <v>0</v>
      </c>
      <c r="N104" s="112"/>
      <c r="O104" s="484">
        <f t="shared" si="18"/>
        <v>0</v>
      </c>
      <c r="P104" s="484">
        <f t="shared" si="19"/>
        <v>0</v>
      </c>
    </row>
    <row r="105" spans="1:16">
      <c r="B105" t="str">
        <f t="shared" si="15"/>
        <v/>
      </c>
      <c r="C105" s="479">
        <f>IF(D94="","-",+C104+1)</f>
        <v>2030</v>
      </c>
      <c r="D105" s="480">
        <f>IF(F104+SUM(E$100:E104)=D$93,F104,D$93-SUM(E$100:E104))</f>
        <v>13918270.0331746</v>
      </c>
      <c r="E105" s="55">
        <f t="shared" si="20"/>
        <v>820339.15047619049</v>
      </c>
      <c r="F105" s="481">
        <f t="shared" si="21"/>
        <v>13097930.882698409</v>
      </c>
      <c r="G105" s="481">
        <f t="shared" si="22"/>
        <v>13508100.457936505</v>
      </c>
      <c r="H105" s="110">
        <f t="shared" si="28"/>
        <v>2370512.1967155617</v>
      </c>
      <c r="I105" s="119">
        <f t="shared" si="24"/>
        <v>2370512.1967155617</v>
      </c>
      <c r="J105" s="484">
        <f t="shared" si="16"/>
        <v>0</v>
      </c>
      <c r="K105" s="484"/>
      <c r="L105" s="112"/>
      <c r="M105" s="484">
        <f t="shared" si="17"/>
        <v>0</v>
      </c>
      <c r="N105" s="112"/>
      <c r="O105" s="484">
        <f t="shared" si="18"/>
        <v>0</v>
      </c>
      <c r="P105" s="484">
        <f t="shared" si="19"/>
        <v>0</v>
      </c>
    </row>
    <row r="106" spans="1:16">
      <c r="B106" t="str">
        <f t="shared" si="15"/>
        <v/>
      </c>
      <c r="C106" s="479">
        <f>IF(D94="","-",+C105+1)</f>
        <v>2031</v>
      </c>
      <c r="D106" s="480">
        <f>IF(F105+SUM(E$100:E105)=D$93,F105,D$93-SUM(E$100:E105))</f>
        <v>13097930.882698409</v>
      </c>
      <c r="E106" s="55">
        <f t="shared" si="20"/>
        <v>820339.15047619049</v>
      </c>
      <c r="F106" s="481">
        <f t="shared" si="21"/>
        <v>12277591.732222218</v>
      </c>
      <c r="G106" s="481">
        <f t="shared" si="22"/>
        <v>12687761.307460314</v>
      </c>
      <c r="H106" s="110">
        <f t="shared" si="28"/>
        <v>2276371.0816266565</v>
      </c>
      <c r="I106" s="119">
        <f t="shared" si="24"/>
        <v>2276371.0816266565</v>
      </c>
      <c r="J106" s="484">
        <f t="shared" si="16"/>
        <v>0</v>
      </c>
      <c r="K106" s="484"/>
      <c r="L106" s="112"/>
      <c r="M106" s="484">
        <f t="shared" si="17"/>
        <v>0</v>
      </c>
      <c r="N106" s="112"/>
      <c r="O106" s="484">
        <f t="shared" si="18"/>
        <v>0</v>
      </c>
      <c r="P106" s="484">
        <f t="shared" si="19"/>
        <v>0</v>
      </c>
    </row>
    <row r="107" spans="1:16">
      <c r="B107" t="str">
        <f t="shared" si="15"/>
        <v/>
      </c>
      <c r="C107" s="479">
        <f>IF(D94="","-",+C106+1)</f>
        <v>2032</v>
      </c>
      <c r="D107" s="480">
        <f>IF(F106+SUM(E$100:E106)=D$93,F106,D$93-SUM(E$100:E106))</f>
        <v>12277591.732222218</v>
      </c>
      <c r="E107" s="55">
        <f t="shared" si="20"/>
        <v>820339.15047619049</v>
      </c>
      <c r="F107" s="481">
        <f t="shared" si="21"/>
        <v>11457252.581746027</v>
      </c>
      <c r="G107" s="481">
        <f t="shared" si="22"/>
        <v>11867422.156984122</v>
      </c>
      <c r="H107" s="110">
        <f t="shared" si="28"/>
        <v>2182229.9665377513</v>
      </c>
      <c r="I107" s="119">
        <f t="shared" si="24"/>
        <v>2182229.9665377513</v>
      </c>
      <c r="J107" s="484">
        <f t="shared" si="16"/>
        <v>0</v>
      </c>
      <c r="K107" s="484"/>
      <c r="L107" s="112"/>
      <c r="M107" s="484">
        <f t="shared" si="17"/>
        <v>0</v>
      </c>
      <c r="N107" s="112"/>
      <c r="O107" s="484">
        <f t="shared" si="18"/>
        <v>0</v>
      </c>
      <c r="P107" s="484">
        <f t="shared" si="19"/>
        <v>0</v>
      </c>
    </row>
    <row r="108" spans="1:16">
      <c r="B108" t="str">
        <f t="shared" si="15"/>
        <v/>
      </c>
      <c r="C108" s="479">
        <f>IF(D94="","-",+C107+1)</f>
        <v>2033</v>
      </c>
      <c r="D108" s="480">
        <f>IF(F107+SUM(E$100:E107)=D$93,F107,D$93-SUM(E$100:E107))</f>
        <v>11457252.581746027</v>
      </c>
      <c r="E108" s="377">
        <f t="shared" si="20"/>
        <v>820339.15047619049</v>
      </c>
      <c r="F108" s="481">
        <f t="shared" si="21"/>
        <v>10636913.431269836</v>
      </c>
      <c r="G108" s="481">
        <f t="shared" si="22"/>
        <v>11047083.006507931</v>
      </c>
      <c r="H108" s="459">
        <f t="shared" ref="H108:H155" si="29">(D108+F108)/2*J$95+E108</f>
        <v>2088088.8514488458</v>
      </c>
      <c r="I108" s="446">
        <f t="shared" si="24"/>
        <v>2088088.8514488458</v>
      </c>
      <c r="J108" s="484">
        <f t="shared" si="16"/>
        <v>0</v>
      </c>
      <c r="K108" s="484"/>
      <c r="L108" s="112"/>
      <c r="M108" s="484">
        <f t="shared" si="17"/>
        <v>0</v>
      </c>
      <c r="N108" s="112"/>
      <c r="O108" s="484">
        <f t="shared" si="18"/>
        <v>0</v>
      </c>
      <c r="P108" s="484">
        <f t="shared" si="19"/>
        <v>0</v>
      </c>
    </row>
    <row r="109" spans="1:16">
      <c r="B109" t="str">
        <f t="shared" si="15"/>
        <v/>
      </c>
      <c r="C109" s="479">
        <f>IF(D94="","-",+C108+1)</f>
        <v>2034</v>
      </c>
      <c r="D109" s="480">
        <f>IF(F108+SUM(E$100:E108)=D$93,F108,D$93-SUM(E$100:E108))</f>
        <v>10636913.431269836</v>
      </c>
      <c r="E109" s="377">
        <f t="shared" si="20"/>
        <v>820339.15047619049</v>
      </c>
      <c r="F109" s="481">
        <f t="shared" si="21"/>
        <v>9816574.2807936445</v>
      </c>
      <c r="G109" s="481">
        <f t="shared" si="22"/>
        <v>10226743.85603174</v>
      </c>
      <c r="H109" s="459">
        <f t="shared" si="29"/>
        <v>1993947.7363599406</v>
      </c>
      <c r="I109" s="446">
        <f t="shared" si="24"/>
        <v>1993947.7363599406</v>
      </c>
      <c r="J109" s="484">
        <f t="shared" si="16"/>
        <v>0</v>
      </c>
      <c r="K109" s="484"/>
      <c r="L109" s="112"/>
      <c r="M109" s="484">
        <f t="shared" si="17"/>
        <v>0</v>
      </c>
      <c r="N109" s="112"/>
      <c r="O109" s="484">
        <f t="shared" si="18"/>
        <v>0</v>
      </c>
      <c r="P109" s="484">
        <f t="shared" si="19"/>
        <v>0</v>
      </c>
    </row>
    <row r="110" spans="1:16">
      <c r="B110" t="str">
        <f t="shared" si="15"/>
        <v/>
      </c>
      <c r="C110" s="479">
        <f>IF(D94="","-",+C109+1)</f>
        <v>2035</v>
      </c>
      <c r="D110" s="480">
        <f>IF(F109+SUM(E$100:E109)=D$93,F109,D$93-SUM(E$100:E109))</f>
        <v>9816574.2807936445</v>
      </c>
      <c r="E110" s="377">
        <f t="shared" si="20"/>
        <v>820339.15047619049</v>
      </c>
      <c r="F110" s="481">
        <f t="shared" si="21"/>
        <v>8996235.1303174533</v>
      </c>
      <c r="G110" s="481">
        <f t="shared" si="22"/>
        <v>9406404.7055555489</v>
      </c>
      <c r="H110" s="459">
        <f t="shared" si="29"/>
        <v>1899806.6212710352</v>
      </c>
      <c r="I110" s="446">
        <f t="shared" si="24"/>
        <v>1899806.6212710352</v>
      </c>
      <c r="J110" s="484">
        <f t="shared" si="16"/>
        <v>0</v>
      </c>
      <c r="K110" s="484"/>
      <c r="L110" s="112"/>
      <c r="M110" s="484">
        <f t="shared" si="17"/>
        <v>0</v>
      </c>
      <c r="N110" s="112"/>
      <c r="O110" s="484">
        <f t="shared" si="18"/>
        <v>0</v>
      </c>
      <c r="P110" s="484">
        <f t="shared" si="19"/>
        <v>0</v>
      </c>
    </row>
    <row r="111" spans="1:16">
      <c r="B111" t="str">
        <f t="shared" si="15"/>
        <v/>
      </c>
      <c r="C111" s="479">
        <f>IF(D94="","-",+C110+1)</f>
        <v>2036</v>
      </c>
      <c r="D111" s="480">
        <f>IF(F110+SUM(E$100:E110)=D$93,F110,D$93-SUM(E$100:E110))</f>
        <v>8996235.1303174533</v>
      </c>
      <c r="E111" s="377">
        <f t="shared" si="20"/>
        <v>820339.15047619049</v>
      </c>
      <c r="F111" s="481">
        <f t="shared" si="21"/>
        <v>8175895.979841263</v>
      </c>
      <c r="G111" s="481">
        <f t="shared" si="22"/>
        <v>8586065.5550793577</v>
      </c>
      <c r="H111" s="459">
        <f t="shared" si="29"/>
        <v>1805665.50618213</v>
      </c>
      <c r="I111" s="446">
        <f t="shared" si="24"/>
        <v>1805665.50618213</v>
      </c>
      <c r="J111" s="484">
        <f t="shared" si="16"/>
        <v>0</v>
      </c>
      <c r="K111" s="484"/>
      <c r="L111" s="112"/>
      <c r="M111" s="484">
        <f t="shared" si="17"/>
        <v>0</v>
      </c>
      <c r="N111" s="112"/>
      <c r="O111" s="484">
        <f t="shared" si="18"/>
        <v>0</v>
      </c>
      <c r="P111" s="484">
        <f t="shared" si="19"/>
        <v>0</v>
      </c>
    </row>
    <row r="112" spans="1:16">
      <c r="B112" t="str">
        <f t="shared" si="15"/>
        <v/>
      </c>
      <c r="C112" s="479">
        <f>IF(D94="","-",+C111+1)</f>
        <v>2037</v>
      </c>
      <c r="D112" s="480">
        <f>IF(F111+SUM(E$100:E111)=D$93,F111,D$93-SUM(E$100:E111))</f>
        <v>8175895.979841263</v>
      </c>
      <c r="E112" s="377">
        <f t="shared" si="20"/>
        <v>820339.15047619049</v>
      </c>
      <c r="F112" s="481">
        <f t="shared" si="21"/>
        <v>7355556.8293650728</v>
      </c>
      <c r="G112" s="481">
        <f t="shared" si="22"/>
        <v>7765726.4046031684</v>
      </c>
      <c r="H112" s="459">
        <f t="shared" si="29"/>
        <v>1711524.3910932248</v>
      </c>
      <c r="I112" s="446">
        <f t="shared" si="24"/>
        <v>1711524.3910932248</v>
      </c>
      <c r="J112" s="484">
        <f t="shared" si="16"/>
        <v>0</v>
      </c>
      <c r="K112" s="484"/>
      <c r="L112" s="112"/>
      <c r="M112" s="484">
        <f t="shared" si="17"/>
        <v>0</v>
      </c>
      <c r="N112" s="112"/>
      <c r="O112" s="484">
        <f t="shared" si="18"/>
        <v>0</v>
      </c>
      <c r="P112" s="484">
        <f t="shared" si="19"/>
        <v>0</v>
      </c>
    </row>
    <row r="113" spans="2:16">
      <c r="B113" t="str">
        <f t="shared" si="15"/>
        <v/>
      </c>
      <c r="C113" s="479">
        <f>IF(D94="","-",+C112+1)</f>
        <v>2038</v>
      </c>
      <c r="D113" s="480">
        <f>IF(F112+SUM(E$100:E112)=D$93,F112,D$93-SUM(E$100:E112))</f>
        <v>7355556.8293650728</v>
      </c>
      <c r="E113" s="377">
        <f t="shared" si="20"/>
        <v>820339.15047619049</v>
      </c>
      <c r="F113" s="481">
        <f t="shared" si="21"/>
        <v>6535217.6788888825</v>
      </c>
      <c r="G113" s="481">
        <f t="shared" si="22"/>
        <v>6945387.2541269772</v>
      </c>
      <c r="H113" s="459">
        <f t="shared" si="29"/>
        <v>1617383.2760043195</v>
      </c>
      <c r="I113" s="446">
        <f t="shared" si="24"/>
        <v>1617383.2760043195</v>
      </c>
      <c r="J113" s="484">
        <f t="shared" si="16"/>
        <v>0</v>
      </c>
      <c r="K113" s="484"/>
      <c r="L113" s="112"/>
      <c r="M113" s="484">
        <f t="shared" si="17"/>
        <v>0</v>
      </c>
      <c r="N113" s="112"/>
      <c r="O113" s="484">
        <f t="shared" si="18"/>
        <v>0</v>
      </c>
      <c r="P113" s="484">
        <f t="shared" si="19"/>
        <v>0</v>
      </c>
    </row>
    <row r="114" spans="2:16">
      <c r="B114" t="str">
        <f t="shared" si="15"/>
        <v/>
      </c>
      <c r="C114" s="479">
        <f>IF(D94="","-",+C113+1)</f>
        <v>2039</v>
      </c>
      <c r="D114" s="480">
        <f>IF(F113+SUM(E$100:E113)=D$93,F113,D$93-SUM(E$100:E113))</f>
        <v>6535217.6788888825</v>
      </c>
      <c r="E114" s="377">
        <f t="shared" si="20"/>
        <v>820339.15047619049</v>
      </c>
      <c r="F114" s="481">
        <f t="shared" si="21"/>
        <v>5714878.5284126922</v>
      </c>
      <c r="G114" s="481">
        <f t="shared" si="22"/>
        <v>6125048.1036507878</v>
      </c>
      <c r="H114" s="459">
        <f t="shared" si="29"/>
        <v>1523242.1609154143</v>
      </c>
      <c r="I114" s="446">
        <f t="shared" si="24"/>
        <v>1523242.1609154143</v>
      </c>
      <c r="J114" s="484">
        <f t="shared" si="16"/>
        <v>0</v>
      </c>
      <c r="K114" s="484"/>
      <c r="L114" s="112"/>
      <c r="M114" s="484">
        <f t="shared" si="17"/>
        <v>0</v>
      </c>
      <c r="N114" s="112"/>
      <c r="O114" s="484">
        <f t="shared" si="18"/>
        <v>0</v>
      </c>
      <c r="P114" s="484">
        <f t="shared" si="19"/>
        <v>0</v>
      </c>
    </row>
    <row r="115" spans="2:16">
      <c r="B115" t="str">
        <f t="shared" si="15"/>
        <v/>
      </c>
      <c r="C115" s="479">
        <f>IF(D94="","-",+C114+1)</f>
        <v>2040</v>
      </c>
      <c r="D115" s="480">
        <f>IF(F114+SUM(E$100:E114)=D$93,F114,D$93-SUM(E$100:E114))</f>
        <v>5714878.5284126922</v>
      </c>
      <c r="E115" s="377">
        <f t="shared" si="20"/>
        <v>820339.15047619049</v>
      </c>
      <c r="F115" s="481">
        <f t="shared" si="21"/>
        <v>4894539.377936502</v>
      </c>
      <c r="G115" s="481">
        <f t="shared" si="22"/>
        <v>5304708.9531745967</v>
      </c>
      <c r="H115" s="459">
        <f t="shared" si="29"/>
        <v>1429101.0458265091</v>
      </c>
      <c r="I115" s="446">
        <f t="shared" si="24"/>
        <v>1429101.0458265091</v>
      </c>
      <c r="J115" s="484">
        <f t="shared" si="16"/>
        <v>0</v>
      </c>
      <c r="K115" s="484"/>
      <c r="L115" s="112"/>
      <c r="M115" s="484">
        <f t="shared" si="17"/>
        <v>0</v>
      </c>
      <c r="N115" s="112"/>
      <c r="O115" s="484">
        <f t="shared" si="18"/>
        <v>0</v>
      </c>
      <c r="P115" s="484">
        <f t="shared" si="19"/>
        <v>0</v>
      </c>
    </row>
    <row r="116" spans="2:16">
      <c r="B116" t="str">
        <f t="shared" si="15"/>
        <v/>
      </c>
      <c r="C116" s="479">
        <f>IF(D94="","-",+C115+1)</f>
        <v>2041</v>
      </c>
      <c r="D116" s="480">
        <f>IF(F115+SUM(E$100:E115)=D$93,F115,D$93-SUM(E$100:E115))</f>
        <v>4894539.377936502</v>
      </c>
      <c r="E116" s="377">
        <f t="shared" si="20"/>
        <v>820339.15047619049</v>
      </c>
      <c r="F116" s="481">
        <f t="shared" si="21"/>
        <v>4074200.2274603117</v>
      </c>
      <c r="G116" s="481">
        <f t="shared" si="22"/>
        <v>4484369.8026984073</v>
      </c>
      <c r="H116" s="459">
        <f t="shared" si="29"/>
        <v>1334959.9307376039</v>
      </c>
      <c r="I116" s="446">
        <f t="shared" si="24"/>
        <v>1334959.9307376039</v>
      </c>
      <c r="J116" s="484">
        <f t="shared" si="16"/>
        <v>0</v>
      </c>
      <c r="K116" s="484"/>
      <c r="L116" s="112"/>
      <c r="M116" s="484">
        <f t="shared" si="17"/>
        <v>0</v>
      </c>
      <c r="N116" s="112"/>
      <c r="O116" s="484">
        <f t="shared" si="18"/>
        <v>0</v>
      </c>
      <c r="P116" s="484">
        <f t="shared" si="19"/>
        <v>0</v>
      </c>
    </row>
    <row r="117" spans="2:16">
      <c r="B117" t="str">
        <f t="shared" si="15"/>
        <v/>
      </c>
      <c r="C117" s="479">
        <f>IF(D94="","-",+C116+1)</f>
        <v>2042</v>
      </c>
      <c r="D117" s="480">
        <f>IF(F116+SUM(E$100:E116)=D$93,F116,D$93-SUM(E$100:E116))</f>
        <v>4074200.2274603117</v>
      </c>
      <c r="E117" s="377">
        <f t="shared" si="20"/>
        <v>820339.15047619049</v>
      </c>
      <c r="F117" s="481">
        <f t="shared" si="21"/>
        <v>3253861.0769841215</v>
      </c>
      <c r="G117" s="481">
        <f t="shared" si="22"/>
        <v>3664030.6522222166</v>
      </c>
      <c r="H117" s="459">
        <f t="shared" si="29"/>
        <v>1240818.8156486985</v>
      </c>
      <c r="I117" s="446">
        <f t="shared" si="24"/>
        <v>1240818.8156486985</v>
      </c>
      <c r="J117" s="484">
        <f t="shared" si="16"/>
        <v>0</v>
      </c>
      <c r="K117" s="484"/>
      <c r="L117" s="112"/>
      <c r="M117" s="484">
        <f t="shared" si="17"/>
        <v>0</v>
      </c>
      <c r="N117" s="112"/>
      <c r="O117" s="484">
        <f t="shared" si="18"/>
        <v>0</v>
      </c>
      <c r="P117" s="484">
        <f t="shared" si="19"/>
        <v>0</v>
      </c>
    </row>
    <row r="118" spans="2:16">
      <c r="B118" t="str">
        <f t="shared" si="15"/>
        <v/>
      </c>
      <c r="C118" s="479">
        <f>IF(D94="","-",+C117+1)</f>
        <v>2043</v>
      </c>
      <c r="D118" s="480">
        <f>IF(F117+SUM(E$100:E117)=D$93,F117,D$93-SUM(E$100:E117))</f>
        <v>3253861.0769841215</v>
      </c>
      <c r="E118" s="377">
        <f t="shared" si="20"/>
        <v>820339.15047619049</v>
      </c>
      <c r="F118" s="481">
        <f t="shared" si="21"/>
        <v>2433521.9265079312</v>
      </c>
      <c r="G118" s="481">
        <f t="shared" si="22"/>
        <v>2843691.5017460263</v>
      </c>
      <c r="H118" s="459">
        <f t="shared" si="29"/>
        <v>1146677.7005597933</v>
      </c>
      <c r="I118" s="446">
        <f t="shared" si="24"/>
        <v>1146677.7005597933</v>
      </c>
      <c r="J118" s="484">
        <f t="shared" si="16"/>
        <v>0</v>
      </c>
      <c r="K118" s="484"/>
      <c r="L118" s="112"/>
      <c r="M118" s="484">
        <f t="shared" si="17"/>
        <v>0</v>
      </c>
      <c r="N118" s="112"/>
      <c r="O118" s="484">
        <f t="shared" si="18"/>
        <v>0</v>
      </c>
      <c r="P118" s="484">
        <f t="shared" si="19"/>
        <v>0</v>
      </c>
    </row>
    <row r="119" spans="2:16">
      <c r="B119" t="str">
        <f t="shared" si="15"/>
        <v/>
      </c>
      <c r="C119" s="479">
        <f>IF(D94="","-",+C118+1)</f>
        <v>2044</v>
      </c>
      <c r="D119" s="480">
        <f>IF(F118+SUM(E$100:E118)=D$93,F118,D$93-SUM(E$100:E118))</f>
        <v>2433521.9265079312</v>
      </c>
      <c r="E119" s="377">
        <f t="shared" si="20"/>
        <v>820339.15047619049</v>
      </c>
      <c r="F119" s="481">
        <f t="shared" si="21"/>
        <v>1613182.7760317407</v>
      </c>
      <c r="G119" s="481">
        <f t="shared" si="22"/>
        <v>2023352.3512698361</v>
      </c>
      <c r="H119" s="459">
        <f t="shared" si="29"/>
        <v>1052536.5854708881</v>
      </c>
      <c r="I119" s="446">
        <f t="shared" si="24"/>
        <v>1052536.5854708881</v>
      </c>
      <c r="J119" s="484">
        <f t="shared" si="16"/>
        <v>0</v>
      </c>
      <c r="K119" s="484"/>
      <c r="L119" s="112"/>
      <c r="M119" s="484">
        <f t="shared" si="17"/>
        <v>0</v>
      </c>
      <c r="N119" s="112"/>
      <c r="O119" s="484">
        <f t="shared" si="18"/>
        <v>0</v>
      </c>
      <c r="P119" s="484">
        <f t="shared" si="19"/>
        <v>0</v>
      </c>
    </row>
    <row r="120" spans="2:16">
      <c r="B120" t="str">
        <f t="shared" si="15"/>
        <v/>
      </c>
      <c r="C120" s="479">
        <f>IF(D94="","-",+C119+1)</f>
        <v>2045</v>
      </c>
      <c r="D120" s="480">
        <f>IF(F119+SUM(E$100:E119)=D$93,F119,D$93-SUM(E$100:E119))</f>
        <v>1613182.7760317407</v>
      </c>
      <c r="E120" s="377">
        <f t="shared" si="20"/>
        <v>820339.15047619049</v>
      </c>
      <c r="F120" s="481">
        <f t="shared" si="21"/>
        <v>792843.62555555021</v>
      </c>
      <c r="G120" s="481">
        <f t="shared" si="22"/>
        <v>1203013.2007936453</v>
      </c>
      <c r="H120" s="459">
        <f t="shared" si="29"/>
        <v>958395.47038198286</v>
      </c>
      <c r="I120" s="446">
        <f t="shared" si="24"/>
        <v>958395.47038198286</v>
      </c>
      <c r="J120" s="484">
        <f t="shared" si="16"/>
        <v>0</v>
      </c>
      <c r="K120" s="484"/>
      <c r="L120" s="112"/>
      <c r="M120" s="484">
        <f t="shared" si="17"/>
        <v>0</v>
      </c>
      <c r="N120" s="112"/>
      <c r="O120" s="484">
        <f t="shared" si="18"/>
        <v>0</v>
      </c>
      <c r="P120" s="484">
        <f t="shared" si="19"/>
        <v>0</v>
      </c>
    </row>
    <row r="121" spans="2:16">
      <c r="B121" t="str">
        <f t="shared" si="15"/>
        <v/>
      </c>
      <c r="C121" s="479">
        <f>IF(D94="","-",+C120+1)</f>
        <v>2046</v>
      </c>
      <c r="D121" s="480">
        <f>IF(F120+SUM(E$100:E120)=D$93,F120,D$93-SUM(E$100:E120))</f>
        <v>792843.62555555021</v>
      </c>
      <c r="E121" s="377">
        <f t="shared" si="20"/>
        <v>792843.62555555021</v>
      </c>
      <c r="F121" s="481">
        <f t="shared" si="21"/>
        <v>0</v>
      </c>
      <c r="G121" s="481">
        <f t="shared" si="22"/>
        <v>396421.81277777511</v>
      </c>
      <c r="H121" s="459">
        <f t="shared" si="29"/>
        <v>838336.50673622009</v>
      </c>
      <c r="I121" s="446">
        <f t="shared" si="24"/>
        <v>838336.50673622009</v>
      </c>
      <c r="J121" s="484">
        <f t="shared" si="16"/>
        <v>0</v>
      </c>
      <c r="K121" s="484"/>
      <c r="L121" s="112"/>
      <c r="M121" s="484">
        <f t="shared" si="17"/>
        <v>0</v>
      </c>
      <c r="N121" s="112"/>
      <c r="O121" s="484">
        <f t="shared" si="18"/>
        <v>0</v>
      </c>
      <c r="P121" s="484">
        <f t="shared" si="19"/>
        <v>0</v>
      </c>
    </row>
    <row r="122" spans="2:16">
      <c r="B122" t="str">
        <f t="shared" si="15"/>
        <v/>
      </c>
      <c r="C122" s="479">
        <f>IF(D94="","-",+C121+1)</f>
        <v>2047</v>
      </c>
      <c r="D122" s="480">
        <f>IF(F121+SUM(E$100:E121)=D$93,F121,D$93-SUM(E$100:E121))</f>
        <v>0</v>
      </c>
      <c r="E122" s="377">
        <f t="shared" si="20"/>
        <v>0</v>
      </c>
      <c r="F122" s="481">
        <f t="shared" si="21"/>
        <v>0</v>
      </c>
      <c r="G122" s="481">
        <f t="shared" si="22"/>
        <v>0</v>
      </c>
      <c r="H122" s="459">
        <f t="shared" si="29"/>
        <v>0</v>
      </c>
      <c r="I122" s="446">
        <f t="shared" si="24"/>
        <v>0</v>
      </c>
      <c r="J122" s="484">
        <f t="shared" si="16"/>
        <v>0</v>
      </c>
      <c r="K122" s="484"/>
      <c r="L122" s="112"/>
      <c r="M122" s="484">
        <f t="shared" si="17"/>
        <v>0</v>
      </c>
      <c r="N122" s="112"/>
      <c r="O122" s="484">
        <f t="shared" si="18"/>
        <v>0</v>
      </c>
      <c r="P122" s="484">
        <f t="shared" si="19"/>
        <v>0</v>
      </c>
    </row>
    <row r="123" spans="2:16">
      <c r="B123" t="str">
        <f t="shared" si="15"/>
        <v/>
      </c>
      <c r="C123" s="479">
        <f>IF(D94="","-",+C122+1)</f>
        <v>2048</v>
      </c>
      <c r="D123" s="480">
        <f>IF(F122+SUM(E$100:E122)=D$93,F122,D$93-SUM(E$100:E122))</f>
        <v>0</v>
      </c>
      <c r="E123" s="377">
        <f t="shared" si="20"/>
        <v>0</v>
      </c>
      <c r="F123" s="481">
        <f t="shared" si="21"/>
        <v>0</v>
      </c>
      <c r="G123" s="481">
        <f t="shared" si="22"/>
        <v>0</v>
      </c>
      <c r="H123" s="459">
        <f t="shared" si="29"/>
        <v>0</v>
      </c>
      <c r="I123" s="446">
        <f t="shared" si="24"/>
        <v>0</v>
      </c>
      <c r="J123" s="484">
        <f t="shared" si="16"/>
        <v>0</v>
      </c>
      <c r="K123" s="484"/>
      <c r="L123" s="112"/>
      <c r="M123" s="484">
        <f t="shared" si="17"/>
        <v>0</v>
      </c>
      <c r="N123" s="112"/>
      <c r="O123" s="484">
        <f t="shared" si="18"/>
        <v>0</v>
      </c>
      <c r="P123" s="484">
        <f t="shared" si="19"/>
        <v>0</v>
      </c>
    </row>
    <row r="124" spans="2:16">
      <c r="B124" t="str">
        <f t="shared" si="15"/>
        <v/>
      </c>
      <c r="C124" s="479">
        <f>IF(D94="","-",+C123+1)</f>
        <v>2049</v>
      </c>
      <c r="D124" s="480">
        <f>IF(F123+SUM(E$100:E123)=D$93,F123,D$93-SUM(E$100:E123))</f>
        <v>0</v>
      </c>
      <c r="E124" s="377">
        <f t="shared" si="20"/>
        <v>0</v>
      </c>
      <c r="F124" s="481">
        <f t="shared" si="21"/>
        <v>0</v>
      </c>
      <c r="G124" s="481">
        <f t="shared" si="22"/>
        <v>0</v>
      </c>
      <c r="H124" s="459">
        <f t="shared" si="29"/>
        <v>0</v>
      </c>
      <c r="I124" s="446">
        <f t="shared" si="24"/>
        <v>0</v>
      </c>
      <c r="J124" s="484">
        <f t="shared" si="16"/>
        <v>0</v>
      </c>
      <c r="K124" s="484"/>
      <c r="L124" s="112"/>
      <c r="M124" s="484">
        <f t="shared" si="17"/>
        <v>0</v>
      </c>
      <c r="N124" s="112"/>
      <c r="O124" s="484">
        <f t="shared" si="18"/>
        <v>0</v>
      </c>
      <c r="P124" s="484">
        <f t="shared" si="19"/>
        <v>0</v>
      </c>
    </row>
    <row r="125" spans="2:16">
      <c r="B125" t="str">
        <f t="shared" si="15"/>
        <v/>
      </c>
      <c r="C125" s="479">
        <f>IF(D94="","-",+C124+1)</f>
        <v>2050</v>
      </c>
      <c r="D125" s="480">
        <f>IF(F124+SUM(E$100:E124)=D$93,F124,D$93-SUM(E$100:E124))</f>
        <v>0</v>
      </c>
      <c r="E125" s="377">
        <f t="shared" si="20"/>
        <v>0</v>
      </c>
      <c r="F125" s="481">
        <f t="shared" si="21"/>
        <v>0</v>
      </c>
      <c r="G125" s="481">
        <f t="shared" si="22"/>
        <v>0</v>
      </c>
      <c r="H125" s="459">
        <f t="shared" si="29"/>
        <v>0</v>
      </c>
      <c r="I125" s="446">
        <f t="shared" si="24"/>
        <v>0</v>
      </c>
      <c r="J125" s="484">
        <f t="shared" si="16"/>
        <v>0</v>
      </c>
      <c r="K125" s="484"/>
      <c r="L125" s="112"/>
      <c r="M125" s="484">
        <f t="shared" si="17"/>
        <v>0</v>
      </c>
      <c r="N125" s="112"/>
      <c r="O125" s="484">
        <f t="shared" si="18"/>
        <v>0</v>
      </c>
      <c r="P125" s="484">
        <f t="shared" si="19"/>
        <v>0</v>
      </c>
    </row>
    <row r="126" spans="2:16">
      <c r="B126" t="str">
        <f t="shared" si="15"/>
        <v/>
      </c>
      <c r="C126" s="479">
        <f>IF(D94="","-",+C125+1)</f>
        <v>2051</v>
      </c>
      <c r="D126" s="480">
        <f>IF(F125+SUM(E$100:E125)=D$93,F125,D$93-SUM(E$100:E125))</f>
        <v>0</v>
      </c>
      <c r="E126" s="377">
        <f t="shared" si="20"/>
        <v>0</v>
      </c>
      <c r="F126" s="481">
        <f t="shared" si="21"/>
        <v>0</v>
      </c>
      <c r="G126" s="481">
        <f t="shared" si="22"/>
        <v>0</v>
      </c>
      <c r="H126" s="459">
        <f t="shared" si="29"/>
        <v>0</v>
      </c>
      <c r="I126" s="446">
        <f t="shared" si="24"/>
        <v>0</v>
      </c>
      <c r="J126" s="484">
        <f t="shared" si="16"/>
        <v>0</v>
      </c>
      <c r="K126" s="484"/>
      <c r="L126" s="112"/>
      <c r="M126" s="484">
        <f t="shared" si="17"/>
        <v>0</v>
      </c>
      <c r="N126" s="112"/>
      <c r="O126" s="484">
        <f t="shared" si="18"/>
        <v>0</v>
      </c>
      <c r="P126" s="484">
        <f t="shared" si="19"/>
        <v>0</v>
      </c>
    </row>
    <row r="127" spans="2:16">
      <c r="B127" t="str">
        <f t="shared" si="15"/>
        <v/>
      </c>
      <c r="C127" s="479">
        <f>IF(D94="","-",+C126+1)</f>
        <v>2052</v>
      </c>
      <c r="D127" s="480">
        <f>IF(F126+SUM(E$100:E126)=D$93,F126,D$93-SUM(E$100:E126))</f>
        <v>0</v>
      </c>
      <c r="E127" s="377">
        <f t="shared" si="20"/>
        <v>0</v>
      </c>
      <c r="F127" s="481">
        <f t="shared" si="21"/>
        <v>0</v>
      </c>
      <c r="G127" s="481">
        <f t="shared" si="22"/>
        <v>0</v>
      </c>
      <c r="H127" s="459">
        <f t="shared" si="29"/>
        <v>0</v>
      </c>
      <c r="I127" s="446">
        <f t="shared" si="24"/>
        <v>0</v>
      </c>
      <c r="J127" s="484">
        <f t="shared" si="16"/>
        <v>0</v>
      </c>
      <c r="K127" s="484"/>
      <c r="L127" s="112"/>
      <c r="M127" s="484">
        <f t="shared" si="17"/>
        <v>0</v>
      </c>
      <c r="N127" s="112"/>
      <c r="O127" s="484">
        <f t="shared" si="18"/>
        <v>0</v>
      </c>
      <c r="P127" s="484">
        <f t="shared" si="19"/>
        <v>0</v>
      </c>
    </row>
    <row r="128" spans="2:16">
      <c r="B128" t="str">
        <f t="shared" si="15"/>
        <v/>
      </c>
      <c r="C128" s="479">
        <f>IF(D94="","-",+C127+1)</f>
        <v>2053</v>
      </c>
      <c r="D128" s="480">
        <f>IF(F127+SUM(E$100:E127)=D$93,F127,D$93-SUM(E$100:E127))</f>
        <v>0</v>
      </c>
      <c r="E128" s="377">
        <f t="shared" si="20"/>
        <v>0</v>
      </c>
      <c r="F128" s="481">
        <f t="shared" si="21"/>
        <v>0</v>
      </c>
      <c r="G128" s="481">
        <f t="shared" si="22"/>
        <v>0</v>
      </c>
      <c r="H128" s="459">
        <f t="shared" si="29"/>
        <v>0</v>
      </c>
      <c r="I128" s="446">
        <f t="shared" si="24"/>
        <v>0</v>
      </c>
      <c r="J128" s="484">
        <f t="shared" si="16"/>
        <v>0</v>
      </c>
      <c r="K128" s="484"/>
      <c r="L128" s="112"/>
      <c r="M128" s="484">
        <f t="shared" si="17"/>
        <v>0</v>
      </c>
      <c r="N128" s="112"/>
      <c r="O128" s="484">
        <f t="shared" si="18"/>
        <v>0</v>
      </c>
      <c r="P128" s="484">
        <f t="shared" si="19"/>
        <v>0</v>
      </c>
    </row>
    <row r="129" spans="2:16">
      <c r="B129" t="str">
        <f t="shared" si="15"/>
        <v/>
      </c>
      <c r="C129" s="479">
        <f>IF(D94="","-",+C128+1)</f>
        <v>2054</v>
      </c>
      <c r="D129" s="480">
        <f>IF(F128+SUM(E$100:E128)=D$93,F128,D$93-SUM(E$100:E128))</f>
        <v>0</v>
      </c>
      <c r="E129" s="377">
        <f t="shared" si="20"/>
        <v>0</v>
      </c>
      <c r="F129" s="481">
        <f t="shared" si="21"/>
        <v>0</v>
      </c>
      <c r="G129" s="481">
        <f t="shared" si="22"/>
        <v>0</v>
      </c>
      <c r="H129" s="459">
        <f t="shared" si="29"/>
        <v>0</v>
      </c>
      <c r="I129" s="446">
        <f t="shared" si="24"/>
        <v>0</v>
      </c>
      <c r="J129" s="484">
        <f t="shared" si="16"/>
        <v>0</v>
      </c>
      <c r="K129" s="484"/>
      <c r="L129" s="112"/>
      <c r="M129" s="484">
        <f t="shared" si="17"/>
        <v>0</v>
      </c>
      <c r="N129" s="112"/>
      <c r="O129" s="484">
        <f t="shared" si="18"/>
        <v>0</v>
      </c>
      <c r="P129" s="484">
        <f t="shared" si="19"/>
        <v>0</v>
      </c>
    </row>
    <row r="130" spans="2:16">
      <c r="B130" t="str">
        <f t="shared" si="15"/>
        <v/>
      </c>
      <c r="C130" s="479">
        <f>IF(D94="","-",+C129+1)</f>
        <v>2055</v>
      </c>
      <c r="D130" s="480">
        <f>IF(F129+SUM(E$100:E129)=D$93,F129,D$93-SUM(E$100:E129))</f>
        <v>0</v>
      </c>
      <c r="E130" s="377">
        <f t="shared" si="20"/>
        <v>0</v>
      </c>
      <c r="F130" s="481">
        <f t="shared" si="21"/>
        <v>0</v>
      </c>
      <c r="G130" s="481">
        <f t="shared" si="22"/>
        <v>0</v>
      </c>
      <c r="H130" s="459">
        <f t="shared" si="29"/>
        <v>0</v>
      </c>
      <c r="I130" s="446">
        <f t="shared" si="24"/>
        <v>0</v>
      </c>
      <c r="J130" s="484">
        <f t="shared" si="16"/>
        <v>0</v>
      </c>
      <c r="K130" s="484"/>
      <c r="L130" s="112"/>
      <c r="M130" s="484">
        <f t="shared" si="17"/>
        <v>0</v>
      </c>
      <c r="N130" s="112"/>
      <c r="O130" s="484">
        <f t="shared" si="18"/>
        <v>0</v>
      </c>
      <c r="P130" s="484">
        <f t="shared" si="19"/>
        <v>0</v>
      </c>
    </row>
    <row r="131" spans="2:16">
      <c r="B131" t="str">
        <f t="shared" si="15"/>
        <v/>
      </c>
      <c r="C131" s="479">
        <f>IF(D94="","-",+C130+1)</f>
        <v>2056</v>
      </c>
      <c r="D131" s="480">
        <f>IF(F130+SUM(E$100:E130)=D$93,F130,D$93-SUM(E$100:E130))</f>
        <v>0</v>
      </c>
      <c r="E131" s="377">
        <f t="shared" si="20"/>
        <v>0</v>
      </c>
      <c r="F131" s="481">
        <f t="shared" si="21"/>
        <v>0</v>
      </c>
      <c r="G131" s="481">
        <f t="shared" si="22"/>
        <v>0</v>
      </c>
      <c r="H131" s="459">
        <f t="shared" si="29"/>
        <v>0</v>
      </c>
      <c r="I131" s="446">
        <f t="shared" si="24"/>
        <v>0</v>
      </c>
      <c r="J131" s="484">
        <f t="shared" si="16"/>
        <v>0</v>
      </c>
      <c r="K131" s="484"/>
      <c r="L131" s="112"/>
      <c r="M131" s="484">
        <f t="shared" si="17"/>
        <v>0</v>
      </c>
      <c r="N131" s="112"/>
      <c r="O131" s="484">
        <f t="shared" si="18"/>
        <v>0</v>
      </c>
      <c r="P131" s="484">
        <f t="shared" si="19"/>
        <v>0</v>
      </c>
    </row>
    <row r="132" spans="2:16">
      <c r="B132" t="str">
        <f t="shared" si="15"/>
        <v/>
      </c>
      <c r="C132" s="479">
        <f>IF(D94="","-",+C131+1)</f>
        <v>2057</v>
      </c>
      <c r="D132" s="480">
        <f>IF(F131+SUM(E$100:E131)=D$93,F131,D$93-SUM(E$100:E131))</f>
        <v>0</v>
      </c>
      <c r="E132" s="377">
        <f t="shared" si="20"/>
        <v>0</v>
      </c>
      <c r="F132" s="481">
        <f t="shared" si="21"/>
        <v>0</v>
      </c>
      <c r="G132" s="481">
        <f t="shared" si="22"/>
        <v>0</v>
      </c>
      <c r="H132" s="459">
        <f t="shared" si="29"/>
        <v>0</v>
      </c>
      <c r="I132" s="446">
        <f t="shared" si="24"/>
        <v>0</v>
      </c>
      <c r="J132" s="484">
        <f t="shared" ref="J132:J155" si="30">+I542-H542</f>
        <v>0</v>
      </c>
      <c r="K132" s="484"/>
      <c r="L132" s="112"/>
      <c r="M132" s="484">
        <f t="shared" ref="M132:M155" si="31">IF(L542&lt;&gt;0,+H542-L542,0)</f>
        <v>0</v>
      </c>
      <c r="N132" s="112"/>
      <c r="O132" s="484">
        <f t="shared" ref="O132:O155" si="32">IF(N542&lt;&gt;0,+I542-N542,0)</f>
        <v>0</v>
      </c>
      <c r="P132" s="484">
        <f t="shared" ref="P132:P155" si="33">+O542-M542</f>
        <v>0</v>
      </c>
    </row>
    <row r="133" spans="2:16">
      <c r="B133" t="str">
        <f t="shared" si="15"/>
        <v/>
      </c>
      <c r="C133" s="479">
        <f>IF(D94="","-",+C132+1)</f>
        <v>2058</v>
      </c>
      <c r="D133" s="480">
        <f>IF(F132+SUM(E$100:E132)=D$93,F132,D$93-SUM(E$100:E132))</f>
        <v>0</v>
      </c>
      <c r="E133" s="377">
        <f t="shared" si="20"/>
        <v>0</v>
      </c>
      <c r="F133" s="481">
        <f t="shared" si="21"/>
        <v>0</v>
      </c>
      <c r="G133" s="481">
        <f t="shared" si="22"/>
        <v>0</v>
      </c>
      <c r="H133" s="459">
        <f t="shared" si="29"/>
        <v>0</v>
      </c>
      <c r="I133" s="446">
        <f t="shared" si="24"/>
        <v>0</v>
      </c>
      <c r="J133" s="484">
        <f t="shared" si="30"/>
        <v>0</v>
      </c>
      <c r="K133" s="484"/>
      <c r="L133" s="112"/>
      <c r="M133" s="484">
        <f t="shared" si="31"/>
        <v>0</v>
      </c>
      <c r="N133" s="112"/>
      <c r="O133" s="484">
        <f t="shared" si="32"/>
        <v>0</v>
      </c>
      <c r="P133" s="484">
        <f t="shared" si="33"/>
        <v>0</v>
      </c>
    </row>
    <row r="134" spans="2:16">
      <c r="B134" t="str">
        <f t="shared" si="15"/>
        <v/>
      </c>
      <c r="C134" s="479">
        <f>IF(D94="","-",+C133+1)</f>
        <v>2059</v>
      </c>
      <c r="D134" s="480">
        <f>IF(F133+SUM(E$100:E133)=D$93,F133,D$93-SUM(E$100:E133))</f>
        <v>0</v>
      </c>
      <c r="E134" s="377">
        <f t="shared" si="20"/>
        <v>0</v>
      </c>
      <c r="F134" s="481">
        <f t="shared" si="21"/>
        <v>0</v>
      </c>
      <c r="G134" s="481">
        <f t="shared" si="22"/>
        <v>0</v>
      </c>
      <c r="H134" s="459">
        <f t="shared" si="29"/>
        <v>0</v>
      </c>
      <c r="I134" s="446">
        <f t="shared" si="24"/>
        <v>0</v>
      </c>
      <c r="J134" s="484">
        <f t="shared" si="30"/>
        <v>0</v>
      </c>
      <c r="K134" s="484"/>
      <c r="L134" s="112"/>
      <c r="M134" s="484">
        <f t="shared" si="31"/>
        <v>0</v>
      </c>
      <c r="N134" s="112"/>
      <c r="O134" s="484">
        <f t="shared" si="32"/>
        <v>0</v>
      </c>
      <c r="P134" s="484">
        <f t="shared" si="33"/>
        <v>0</v>
      </c>
    </row>
    <row r="135" spans="2:16">
      <c r="B135" t="str">
        <f t="shared" si="15"/>
        <v/>
      </c>
      <c r="C135" s="479">
        <f>IF(D94="","-",+C134+1)</f>
        <v>2060</v>
      </c>
      <c r="D135" s="480">
        <f>IF(F134+SUM(E$100:E134)=D$93,F134,D$93-SUM(E$100:E134))</f>
        <v>0</v>
      </c>
      <c r="E135" s="377">
        <f t="shared" si="20"/>
        <v>0</v>
      </c>
      <c r="F135" s="481">
        <f t="shared" si="21"/>
        <v>0</v>
      </c>
      <c r="G135" s="481">
        <f t="shared" si="22"/>
        <v>0</v>
      </c>
      <c r="H135" s="459">
        <f t="shared" si="29"/>
        <v>0</v>
      </c>
      <c r="I135" s="446">
        <f t="shared" si="24"/>
        <v>0</v>
      </c>
      <c r="J135" s="484">
        <f t="shared" si="30"/>
        <v>0</v>
      </c>
      <c r="K135" s="484"/>
      <c r="L135" s="112"/>
      <c r="M135" s="484">
        <f t="shared" si="31"/>
        <v>0</v>
      </c>
      <c r="N135" s="112"/>
      <c r="O135" s="484">
        <f t="shared" si="32"/>
        <v>0</v>
      </c>
      <c r="P135" s="484">
        <f t="shared" si="33"/>
        <v>0</v>
      </c>
    </row>
    <row r="136" spans="2:16">
      <c r="B136" t="str">
        <f t="shared" si="15"/>
        <v/>
      </c>
      <c r="C136" s="479">
        <f>IF(D94="","-",+C135+1)</f>
        <v>2061</v>
      </c>
      <c r="D136" s="480">
        <f>IF(F135+SUM(E$100:E135)=D$93,F135,D$93-SUM(E$100:E135))</f>
        <v>0</v>
      </c>
      <c r="E136" s="377">
        <f t="shared" si="20"/>
        <v>0</v>
      </c>
      <c r="F136" s="481">
        <f t="shared" si="21"/>
        <v>0</v>
      </c>
      <c r="G136" s="481">
        <f t="shared" si="22"/>
        <v>0</v>
      </c>
      <c r="H136" s="459">
        <f t="shared" si="29"/>
        <v>0</v>
      </c>
      <c r="I136" s="446">
        <f t="shared" si="24"/>
        <v>0</v>
      </c>
      <c r="J136" s="484">
        <f t="shared" si="30"/>
        <v>0</v>
      </c>
      <c r="K136" s="484"/>
      <c r="L136" s="112"/>
      <c r="M136" s="484">
        <f t="shared" si="31"/>
        <v>0</v>
      </c>
      <c r="N136" s="112"/>
      <c r="O136" s="484">
        <f t="shared" si="32"/>
        <v>0</v>
      </c>
      <c r="P136" s="484">
        <f t="shared" si="33"/>
        <v>0</v>
      </c>
    </row>
    <row r="137" spans="2:16">
      <c r="B137" t="str">
        <f t="shared" si="15"/>
        <v/>
      </c>
      <c r="C137" s="479">
        <f>IF(D94="","-",+C136+1)</f>
        <v>2062</v>
      </c>
      <c r="D137" s="480">
        <f>IF(F136+SUM(E$100:E136)=D$93,F136,D$93-SUM(E$100:E136))</f>
        <v>0</v>
      </c>
      <c r="E137" s="377">
        <f t="shared" si="20"/>
        <v>0</v>
      </c>
      <c r="F137" s="481">
        <f t="shared" si="21"/>
        <v>0</v>
      </c>
      <c r="G137" s="481">
        <f t="shared" si="22"/>
        <v>0</v>
      </c>
      <c r="H137" s="459">
        <f t="shared" si="29"/>
        <v>0</v>
      </c>
      <c r="I137" s="446">
        <f t="shared" si="24"/>
        <v>0</v>
      </c>
      <c r="J137" s="484">
        <f t="shared" si="30"/>
        <v>0</v>
      </c>
      <c r="K137" s="484"/>
      <c r="L137" s="112"/>
      <c r="M137" s="484">
        <f t="shared" si="31"/>
        <v>0</v>
      </c>
      <c r="N137" s="112"/>
      <c r="O137" s="484">
        <f t="shared" si="32"/>
        <v>0</v>
      </c>
      <c r="P137" s="484">
        <f t="shared" si="33"/>
        <v>0</v>
      </c>
    </row>
    <row r="138" spans="2:16">
      <c r="B138" t="str">
        <f t="shared" si="15"/>
        <v/>
      </c>
      <c r="C138" s="479">
        <f>IF(D94="","-",+C137+1)</f>
        <v>2063</v>
      </c>
      <c r="D138" s="480">
        <f>IF(F137+SUM(E$100:E137)=D$93,F137,D$93-SUM(E$100:E137))</f>
        <v>0</v>
      </c>
      <c r="E138" s="377">
        <f t="shared" si="20"/>
        <v>0</v>
      </c>
      <c r="F138" s="481">
        <f t="shared" si="21"/>
        <v>0</v>
      </c>
      <c r="G138" s="481">
        <f t="shared" si="22"/>
        <v>0</v>
      </c>
      <c r="H138" s="459">
        <f t="shared" si="29"/>
        <v>0</v>
      </c>
      <c r="I138" s="446">
        <f t="shared" si="24"/>
        <v>0</v>
      </c>
      <c r="J138" s="484">
        <f t="shared" si="30"/>
        <v>0</v>
      </c>
      <c r="K138" s="484"/>
      <c r="L138" s="112"/>
      <c r="M138" s="484">
        <f t="shared" si="31"/>
        <v>0</v>
      </c>
      <c r="N138" s="112"/>
      <c r="O138" s="484">
        <f t="shared" si="32"/>
        <v>0</v>
      </c>
      <c r="P138" s="484">
        <f t="shared" si="33"/>
        <v>0</v>
      </c>
    </row>
    <row r="139" spans="2:16">
      <c r="B139" t="str">
        <f t="shared" si="15"/>
        <v/>
      </c>
      <c r="C139" s="479">
        <f>IF(D94="","-",+C138+1)</f>
        <v>2064</v>
      </c>
      <c r="D139" s="480">
        <f>IF(F138+SUM(E$100:E138)=D$93,F138,D$93-SUM(E$100:E138))</f>
        <v>0</v>
      </c>
      <c r="E139" s="377">
        <f t="shared" si="20"/>
        <v>0</v>
      </c>
      <c r="F139" s="481">
        <f t="shared" si="21"/>
        <v>0</v>
      </c>
      <c r="G139" s="481">
        <f t="shared" si="22"/>
        <v>0</v>
      </c>
      <c r="H139" s="459">
        <f t="shared" si="29"/>
        <v>0</v>
      </c>
      <c r="I139" s="446">
        <f t="shared" si="24"/>
        <v>0</v>
      </c>
      <c r="J139" s="484">
        <f t="shared" si="30"/>
        <v>0</v>
      </c>
      <c r="K139" s="484"/>
      <c r="L139" s="112"/>
      <c r="M139" s="484">
        <f t="shared" si="31"/>
        <v>0</v>
      </c>
      <c r="N139" s="112"/>
      <c r="O139" s="484">
        <f t="shared" si="32"/>
        <v>0</v>
      </c>
      <c r="P139" s="484">
        <f t="shared" si="33"/>
        <v>0</v>
      </c>
    </row>
    <row r="140" spans="2:16">
      <c r="B140" t="str">
        <f t="shared" si="15"/>
        <v/>
      </c>
      <c r="C140" s="479">
        <f>IF(D94="","-",+C139+1)</f>
        <v>2065</v>
      </c>
      <c r="D140" s="480">
        <f>IF(F139+SUM(E$100:E139)=D$93,F139,D$93-SUM(E$100:E139))</f>
        <v>0</v>
      </c>
      <c r="E140" s="377">
        <f t="shared" si="20"/>
        <v>0</v>
      </c>
      <c r="F140" s="481">
        <f t="shared" si="21"/>
        <v>0</v>
      </c>
      <c r="G140" s="481">
        <f t="shared" si="22"/>
        <v>0</v>
      </c>
      <c r="H140" s="459">
        <f t="shared" si="29"/>
        <v>0</v>
      </c>
      <c r="I140" s="446">
        <f t="shared" si="24"/>
        <v>0</v>
      </c>
      <c r="J140" s="484">
        <f t="shared" si="30"/>
        <v>0</v>
      </c>
      <c r="K140" s="484"/>
      <c r="L140" s="112"/>
      <c r="M140" s="484">
        <f t="shared" si="31"/>
        <v>0</v>
      </c>
      <c r="N140" s="112"/>
      <c r="O140" s="484">
        <f t="shared" si="32"/>
        <v>0</v>
      </c>
      <c r="P140" s="484">
        <f t="shared" si="33"/>
        <v>0</v>
      </c>
    </row>
    <row r="141" spans="2:16">
      <c r="B141" t="str">
        <f t="shared" si="15"/>
        <v/>
      </c>
      <c r="C141" s="479">
        <f>IF(D94="","-",+C140+1)</f>
        <v>2066</v>
      </c>
      <c r="D141" s="480">
        <f>IF(F140+SUM(E$100:E140)=D$93,F140,D$93-SUM(E$100:E140))</f>
        <v>0</v>
      </c>
      <c r="E141" s="377">
        <f t="shared" si="20"/>
        <v>0</v>
      </c>
      <c r="F141" s="481">
        <f t="shared" si="21"/>
        <v>0</v>
      </c>
      <c r="G141" s="481">
        <f t="shared" si="22"/>
        <v>0</v>
      </c>
      <c r="H141" s="459">
        <f t="shared" si="29"/>
        <v>0</v>
      </c>
      <c r="I141" s="446">
        <f t="shared" si="24"/>
        <v>0</v>
      </c>
      <c r="J141" s="484">
        <f t="shared" si="30"/>
        <v>0</v>
      </c>
      <c r="K141" s="484"/>
      <c r="L141" s="112"/>
      <c r="M141" s="484">
        <f t="shared" si="31"/>
        <v>0</v>
      </c>
      <c r="N141" s="112"/>
      <c r="O141" s="484">
        <f t="shared" si="32"/>
        <v>0</v>
      </c>
      <c r="P141" s="484">
        <f t="shared" si="33"/>
        <v>0</v>
      </c>
    </row>
    <row r="142" spans="2:16">
      <c r="B142" t="str">
        <f t="shared" si="15"/>
        <v/>
      </c>
      <c r="C142" s="479">
        <f>IF(D94="","-",+C141+1)</f>
        <v>2067</v>
      </c>
      <c r="D142" s="480">
        <f>IF(F141+SUM(E$100:E141)=D$93,F141,D$93-SUM(E$100:E141))</f>
        <v>0</v>
      </c>
      <c r="E142" s="377">
        <f t="shared" si="20"/>
        <v>0</v>
      </c>
      <c r="F142" s="481">
        <f t="shared" si="21"/>
        <v>0</v>
      </c>
      <c r="G142" s="481">
        <f t="shared" si="22"/>
        <v>0</v>
      </c>
      <c r="H142" s="459">
        <f t="shared" si="29"/>
        <v>0</v>
      </c>
      <c r="I142" s="446">
        <f t="shared" si="24"/>
        <v>0</v>
      </c>
      <c r="J142" s="484">
        <f t="shared" si="30"/>
        <v>0</v>
      </c>
      <c r="K142" s="484"/>
      <c r="L142" s="112"/>
      <c r="M142" s="484">
        <f t="shared" si="31"/>
        <v>0</v>
      </c>
      <c r="N142" s="112"/>
      <c r="O142" s="484">
        <f t="shared" si="32"/>
        <v>0</v>
      </c>
      <c r="P142" s="484">
        <f t="shared" si="33"/>
        <v>0</v>
      </c>
    </row>
    <row r="143" spans="2:16">
      <c r="B143" t="str">
        <f t="shared" si="15"/>
        <v/>
      </c>
      <c r="C143" s="479">
        <f>IF(D94="","-",+C142+1)</f>
        <v>2068</v>
      </c>
      <c r="D143" s="480">
        <f>IF(F142+SUM(E$100:E142)=D$93,F142,D$93-SUM(E$100:E142))</f>
        <v>0</v>
      </c>
      <c r="E143" s="377">
        <f t="shared" si="20"/>
        <v>0</v>
      </c>
      <c r="F143" s="481">
        <f t="shared" si="21"/>
        <v>0</v>
      </c>
      <c r="G143" s="481">
        <f t="shared" si="22"/>
        <v>0</v>
      </c>
      <c r="H143" s="459">
        <f t="shared" si="29"/>
        <v>0</v>
      </c>
      <c r="I143" s="446">
        <f t="shared" si="24"/>
        <v>0</v>
      </c>
      <c r="J143" s="484">
        <f t="shared" si="30"/>
        <v>0</v>
      </c>
      <c r="K143" s="484"/>
      <c r="L143" s="112"/>
      <c r="M143" s="484">
        <f t="shared" si="31"/>
        <v>0</v>
      </c>
      <c r="N143" s="112"/>
      <c r="O143" s="484">
        <f t="shared" si="32"/>
        <v>0</v>
      </c>
      <c r="P143" s="484">
        <f t="shared" si="33"/>
        <v>0</v>
      </c>
    </row>
    <row r="144" spans="2:16">
      <c r="B144" t="str">
        <f t="shared" si="15"/>
        <v/>
      </c>
      <c r="C144" s="479">
        <f>IF(D94="","-",+C143+1)</f>
        <v>2069</v>
      </c>
      <c r="D144" s="480">
        <f>IF(F143+SUM(E$100:E143)=D$93,F143,D$93-SUM(E$100:E143))</f>
        <v>0</v>
      </c>
      <c r="E144" s="377">
        <f t="shared" si="20"/>
        <v>0</v>
      </c>
      <c r="F144" s="481">
        <f t="shared" si="21"/>
        <v>0</v>
      </c>
      <c r="G144" s="481">
        <f t="shared" si="22"/>
        <v>0</v>
      </c>
      <c r="H144" s="459">
        <f t="shared" si="29"/>
        <v>0</v>
      </c>
      <c r="I144" s="446">
        <f t="shared" si="24"/>
        <v>0</v>
      </c>
      <c r="J144" s="484">
        <f t="shared" si="30"/>
        <v>0</v>
      </c>
      <c r="K144" s="484"/>
      <c r="L144" s="112"/>
      <c r="M144" s="484">
        <f t="shared" si="31"/>
        <v>0</v>
      </c>
      <c r="N144" s="112"/>
      <c r="O144" s="484">
        <f t="shared" si="32"/>
        <v>0</v>
      </c>
      <c r="P144" s="484">
        <f t="shared" si="33"/>
        <v>0</v>
      </c>
    </row>
    <row r="145" spans="2:16">
      <c r="B145" t="str">
        <f t="shared" si="15"/>
        <v/>
      </c>
      <c r="C145" s="479">
        <f>IF(D94="","-",+C144+1)</f>
        <v>2070</v>
      </c>
      <c r="D145" s="480">
        <f>IF(F144+SUM(E$100:E144)=D$93,F144,D$93-SUM(E$100:E144))</f>
        <v>0</v>
      </c>
      <c r="E145" s="377">
        <f t="shared" si="20"/>
        <v>0</v>
      </c>
      <c r="F145" s="481">
        <f t="shared" si="21"/>
        <v>0</v>
      </c>
      <c r="G145" s="481">
        <f t="shared" si="22"/>
        <v>0</v>
      </c>
      <c r="H145" s="459">
        <f t="shared" si="29"/>
        <v>0</v>
      </c>
      <c r="I145" s="446">
        <f t="shared" si="24"/>
        <v>0</v>
      </c>
      <c r="J145" s="484">
        <f t="shared" si="30"/>
        <v>0</v>
      </c>
      <c r="K145" s="484"/>
      <c r="L145" s="112"/>
      <c r="M145" s="484">
        <f t="shared" si="31"/>
        <v>0</v>
      </c>
      <c r="N145" s="112"/>
      <c r="O145" s="484">
        <f t="shared" si="32"/>
        <v>0</v>
      </c>
      <c r="P145" s="484">
        <f t="shared" si="33"/>
        <v>0</v>
      </c>
    </row>
    <row r="146" spans="2:16">
      <c r="B146" t="str">
        <f t="shared" si="15"/>
        <v/>
      </c>
      <c r="C146" s="479">
        <f>IF(D94="","-",+C145+1)</f>
        <v>2071</v>
      </c>
      <c r="D146" s="480">
        <f>IF(F145+SUM(E$100:E145)=D$93,F145,D$93-SUM(E$100:E145))</f>
        <v>0</v>
      </c>
      <c r="E146" s="377">
        <f t="shared" si="20"/>
        <v>0</v>
      </c>
      <c r="F146" s="481">
        <f t="shared" si="21"/>
        <v>0</v>
      </c>
      <c r="G146" s="481">
        <f t="shared" si="22"/>
        <v>0</v>
      </c>
      <c r="H146" s="459">
        <f t="shared" si="29"/>
        <v>0</v>
      </c>
      <c r="I146" s="446">
        <f t="shared" si="24"/>
        <v>0</v>
      </c>
      <c r="J146" s="484">
        <f t="shared" si="30"/>
        <v>0</v>
      </c>
      <c r="K146" s="484"/>
      <c r="L146" s="112"/>
      <c r="M146" s="484">
        <f t="shared" si="31"/>
        <v>0</v>
      </c>
      <c r="N146" s="112"/>
      <c r="O146" s="484">
        <f t="shared" si="32"/>
        <v>0</v>
      </c>
      <c r="P146" s="484">
        <f t="shared" si="33"/>
        <v>0</v>
      </c>
    </row>
    <row r="147" spans="2:16">
      <c r="B147" t="str">
        <f t="shared" si="15"/>
        <v/>
      </c>
      <c r="C147" s="479">
        <f>IF(D94="","-",+C146+1)</f>
        <v>2072</v>
      </c>
      <c r="D147" s="480">
        <f>IF(F146+SUM(E$100:E146)=D$93,F146,D$93-SUM(E$100:E146))</f>
        <v>0</v>
      </c>
      <c r="E147" s="377">
        <f t="shared" si="20"/>
        <v>0</v>
      </c>
      <c r="F147" s="481">
        <f t="shared" si="21"/>
        <v>0</v>
      </c>
      <c r="G147" s="481">
        <f t="shared" si="22"/>
        <v>0</v>
      </c>
      <c r="H147" s="459">
        <f t="shared" si="29"/>
        <v>0</v>
      </c>
      <c r="I147" s="446">
        <f t="shared" si="24"/>
        <v>0</v>
      </c>
      <c r="J147" s="484">
        <f t="shared" si="30"/>
        <v>0</v>
      </c>
      <c r="K147" s="484"/>
      <c r="L147" s="112"/>
      <c r="M147" s="484">
        <f t="shared" si="31"/>
        <v>0</v>
      </c>
      <c r="N147" s="112"/>
      <c r="O147" s="484">
        <f t="shared" si="32"/>
        <v>0</v>
      </c>
      <c r="P147" s="484">
        <f t="shared" si="33"/>
        <v>0</v>
      </c>
    </row>
    <row r="148" spans="2:16">
      <c r="B148" t="str">
        <f t="shared" si="15"/>
        <v/>
      </c>
      <c r="C148" s="479">
        <f>IF(D94="","-",+C147+1)</f>
        <v>2073</v>
      </c>
      <c r="D148" s="480">
        <f>IF(F147+SUM(E$100:E147)=D$93,F147,D$93-SUM(E$100:E147))</f>
        <v>0</v>
      </c>
      <c r="E148" s="377">
        <f t="shared" si="20"/>
        <v>0</v>
      </c>
      <c r="F148" s="481">
        <f t="shared" si="21"/>
        <v>0</v>
      </c>
      <c r="G148" s="481">
        <f t="shared" si="22"/>
        <v>0</v>
      </c>
      <c r="H148" s="459">
        <f t="shared" si="29"/>
        <v>0</v>
      </c>
      <c r="I148" s="446">
        <f t="shared" si="24"/>
        <v>0</v>
      </c>
      <c r="J148" s="484">
        <f t="shared" si="30"/>
        <v>0</v>
      </c>
      <c r="K148" s="484"/>
      <c r="L148" s="112"/>
      <c r="M148" s="484">
        <f t="shared" si="31"/>
        <v>0</v>
      </c>
      <c r="N148" s="112"/>
      <c r="O148" s="484">
        <f t="shared" si="32"/>
        <v>0</v>
      </c>
      <c r="P148" s="484">
        <f t="shared" si="33"/>
        <v>0</v>
      </c>
    </row>
    <row r="149" spans="2:16">
      <c r="B149" t="str">
        <f t="shared" si="15"/>
        <v/>
      </c>
      <c r="C149" s="479">
        <f>IF(D94="","-",+C148+1)</f>
        <v>2074</v>
      </c>
      <c r="D149" s="480">
        <f>IF(F148+SUM(E$100:E148)=D$93,F148,D$93-SUM(E$100:E148))</f>
        <v>0</v>
      </c>
      <c r="E149" s="377">
        <f t="shared" si="20"/>
        <v>0</v>
      </c>
      <c r="F149" s="481">
        <f t="shared" si="21"/>
        <v>0</v>
      </c>
      <c r="G149" s="481">
        <f t="shared" si="22"/>
        <v>0</v>
      </c>
      <c r="H149" s="459">
        <f t="shared" si="29"/>
        <v>0</v>
      </c>
      <c r="I149" s="446">
        <f t="shared" si="24"/>
        <v>0</v>
      </c>
      <c r="J149" s="484">
        <f t="shared" si="30"/>
        <v>0</v>
      </c>
      <c r="K149" s="484"/>
      <c r="L149" s="112"/>
      <c r="M149" s="484">
        <f t="shared" si="31"/>
        <v>0</v>
      </c>
      <c r="N149" s="112"/>
      <c r="O149" s="484">
        <f t="shared" si="32"/>
        <v>0</v>
      </c>
      <c r="P149" s="484">
        <f t="shared" si="33"/>
        <v>0</v>
      </c>
    </row>
    <row r="150" spans="2:16">
      <c r="B150" t="str">
        <f t="shared" si="15"/>
        <v/>
      </c>
      <c r="C150" s="479">
        <f>IF(D94="","-",+C149+1)</f>
        <v>2075</v>
      </c>
      <c r="D150" s="480">
        <f>IF(F149+SUM(E$100:E149)=D$93,F149,D$93-SUM(E$100:E149))</f>
        <v>0</v>
      </c>
      <c r="E150" s="377">
        <f t="shared" si="20"/>
        <v>0</v>
      </c>
      <c r="F150" s="481">
        <f t="shared" si="21"/>
        <v>0</v>
      </c>
      <c r="G150" s="481">
        <f t="shared" si="22"/>
        <v>0</v>
      </c>
      <c r="H150" s="459">
        <f t="shared" si="29"/>
        <v>0</v>
      </c>
      <c r="I150" s="446">
        <f t="shared" si="24"/>
        <v>0</v>
      </c>
      <c r="J150" s="484">
        <f t="shared" si="30"/>
        <v>0</v>
      </c>
      <c r="K150" s="484"/>
      <c r="L150" s="112"/>
      <c r="M150" s="484">
        <f t="shared" si="31"/>
        <v>0</v>
      </c>
      <c r="N150" s="112"/>
      <c r="O150" s="484">
        <f t="shared" si="32"/>
        <v>0</v>
      </c>
      <c r="P150" s="484">
        <f t="shared" si="33"/>
        <v>0</v>
      </c>
    </row>
    <row r="151" spans="2:16">
      <c r="B151" t="str">
        <f t="shared" si="15"/>
        <v/>
      </c>
      <c r="C151" s="479">
        <f>IF(D94="","-",+C150+1)</f>
        <v>2076</v>
      </c>
      <c r="D151" s="480">
        <f>IF(F150+SUM(E$100:E150)=D$93,F150,D$93-SUM(E$100:E150))</f>
        <v>0</v>
      </c>
      <c r="E151" s="377">
        <f t="shared" si="20"/>
        <v>0</v>
      </c>
      <c r="F151" s="481">
        <f t="shared" si="21"/>
        <v>0</v>
      </c>
      <c r="G151" s="481">
        <f t="shared" si="22"/>
        <v>0</v>
      </c>
      <c r="H151" s="459">
        <f t="shared" si="29"/>
        <v>0</v>
      </c>
      <c r="I151" s="446">
        <f t="shared" si="24"/>
        <v>0</v>
      </c>
      <c r="J151" s="484">
        <f t="shared" si="30"/>
        <v>0</v>
      </c>
      <c r="K151" s="484"/>
      <c r="L151" s="112"/>
      <c r="M151" s="484">
        <f t="shared" si="31"/>
        <v>0</v>
      </c>
      <c r="N151" s="112"/>
      <c r="O151" s="484">
        <f t="shared" si="32"/>
        <v>0</v>
      </c>
      <c r="P151" s="484">
        <f t="shared" si="33"/>
        <v>0</v>
      </c>
    </row>
    <row r="152" spans="2:16">
      <c r="B152" t="str">
        <f t="shared" si="15"/>
        <v/>
      </c>
      <c r="C152" s="479">
        <f>IF(D94="","-",+C151+1)</f>
        <v>2077</v>
      </c>
      <c r="D152" s="480">
        <f>IF(F151+SUM(E$100:E151)=D$93,F151,D$93-SUM(E$100:E151))</f>
        <v>0</v>
      </c>
      <c r="E152" s="377">
        <f t="shared" si="20"/>
        <v>0</v>
      </c>
      <c r="F152" s="481">
        <f t="shared" si="21"/>
        <v>0</v>
      </c>
      <c r="G152" s="481">
        <f t="shared" si="22"/>
        <v>0</v>
      </c>
      <c r="H152" s="459">
        <f t="shared" si="29"/>
        <v>0</v>
      </c>
      <c r="I152" s="446">
        <f t="shared" si="24"/>
        <v>0</v>
      </c>
      <c r="J152" s="484">
        <f t="shared" si="30"/>
        <v>0</v>
      </c>
      <c r="K152" s="484"/>
      <c r="L152" s="112"/>
      <c r="M152" s="484">
        <f t="shared" si="31"/>
        <v>0</v>
      </c>
      <c r="N152" s="112"/>
      <c r="O152" s="484">
        <f t="shared" si="32"/>
        <v>0</v>
      </c>
      <c r="P152" s="484">
        <f t="shared" si="33"/>
        <v>0</v>
      </c>
    </row>
    <row r="153" spans="2:16">
      <c r="B153" t="str">
        <f t="shared" si="15"/>
        <v/>
      </c>
      <c r="C153" s="479">
        <f>IF(D94="","-",+C152+1)</f>
        <v>2078</v>
      </c>
      <c r="D153" s="480">
        <f>IF(F152+SUM(E$100:E152)=D$93,F152,D$93-SUM(E$100:E152))</f>
        <v>0</v>
      </c>
      <c r="E153" s="377">
        <f t="shared" si="20"/>
        <v>0</v>
      </c>
      <c r="F153" s="481">
        <f t="shared" si="21"/>
        <v>0</v>
      </c>
      <c r="G153" s="481">
        <f t="shared" si="22"/>
        <v>0</v>
      </c>
      <c r="H153" s="459">
        <f t="shared" si="29"/>
        <v>0</v>
      </c>
      <c r="I153" s="446">
        <f t="shared" si="24"/>
        <v>0</v>
      </c>
      <c r="J153" s="484">
        <f t="shared" si="30"/>
        <v>0</v>
      </c>
      <c r="K153" s="484"/>
      <c r="L153" s="112"/>
      <c r="M153" s="484">
        <f t="shared" si="31"/>
        <v>0</v>
      </c>
      <c r="N153" s="112"/>
      <c r="O153" s="484">
        <f t="shared" si="32"/>
        <v>0</v>
      </c>
      <c r="P153" s="484">
        <f t="shared" si="33"/>
        <v>0</v>
      </c>
    </row>
    <row r="154" spans="2:16">
      <c r="B154" t="str">
        <f t="shared" si="15"/>
        <v/>
      </c>
      <c r="C154" s="479">
        <f>IF(D94="","-",+C153+1)</f>
        <v>2079</v>
      </c>
      <c r="D154" s="480">
        <f>IF(F153+SUM(E$100:E153)=D$93,F153,D$93-SUM(E$100:E153))</f>
        <v>0</v>
      </c>
      <c r="E154" s="377">
        <f t="shared" si="20"/>
        <v>0</v>
      </c>
      <c r="F154" s="481">
        <f t="shared" si="21"/>
        <v>0</v>
      </c>
      <c r="G154" s="481">
        <f t="shared" si="22"/>
        <v>0</v>
      </c>
      <c r="H154" s="459">
        <f t="shared" si="29"/>
        <v>0</v>
      </c>
      <c r="I154" s="446">
        <f t="shared" si="24"/>
        <v>0</v>
      </c>
      <c r="J154" s="484">
        <f t="shared" si="30"/>
        <v>0</v>
      </c>
      <c r="K154" s="484"/>
      <c r="L154" s="112"/>
      <c r="M154" s="484">
        <f t="shared" si="31"/>
        <v>0</v>
      </c>
      <c r="N154" s="112"/>
      <c r="O154" s="484">
        <f t="shared" si="32"/>
        <v>0</v>
      </c>
      <c r="P154" s="484">
        <f t="shared" si="33"/>
        <v>0</v>
      </c>
    </row>
    <row r="155" spans="2:16" ht="13.5" thickBot="1">
      <c r="B155" t="str">
        <f t="shared" si="15"/>
        <v/>
      </c>
      <c r="C155" s="487">
        <f>IF(D94="","-",+C154+1)</f>
        <v>2080</v>
      </c>
      <c r="D155" s="509">
        <f>IF(F154+SUM(E$100:E154)=D$93,F154,D$93-SUM(E$100:E154))</f>
        <v>0</v>
      </c>
      <c r="E155" s="389">
        <f t="shared" si="20"/>
        <v>0</v>
      </c>
      <c r="F155" s="488">
        <f t="shared" si="21"/>
        <v>0</v>
      </c>
      <c r="G155" s="488">
        <f t="shared" si="22"/>
        <v>0</v>
      </c>
      <c r="H155" s="459">
        <f t="shared" si="29"/>
        <v>0</v>
      </c>
      <c r="I155" s="443">
        <f t="shared" si="24"/>
        <v>0</v>
      </c>
      <c r="J155" s="491">
        <f t="shared" si="30"/>
        <v>0</v>
      </c>
      <c r="K155" s="484"/>
      <c r="L155" s="113"/>
      <c r="M155" s="491">
        <f t="shared" si="31"/>
        <v>0</v>
      </c>
      <c r="N155" s="113"/>
      <c r="O155" s="491">
        <f t="shared" si="32"/>
        <v>0</v>
      </c>
      <c r="P155" s="491">
        <f t="shared" si="33"/>
        <v>0</v>
      </c>
    </row>
    <row r="156" spans="2:16">
      <c r="C156" s="480" t="s">
        <v>75</v>
      </c>
      <c r="D156" s="468"/>
      <c r="E156" s="468">
        <f>SUM(E100:E155)</f>
        <v>17227122.16</v>
      </c>
      <c r="F156" s="468"/>
      <c r="G156" s="468"/>
      <c r="H156" s="468">
        <f>SUM(H100:H155)</f>
        <v>38316550.073497906</v>
      </c>
      <c r="I156" s="468">
        <f>SUM(I100:I155)</f>
        <v>38316550.073497906</v>
      </c>
      <c r="J156" s="468">
        <f>SUM(J100:J155)</f>
        <v>0</v>
      </c>
      <c r="K156" s="468"/>
      <c r="L156" s="468"/>
      <c r="M156" s="468"/>
      <c r="N156" s="468"/>
      <c r="O156" s="468"/>
      <c r="P156" s="465"/>
    </row>
    <row r="157" spans="2:16">
      <c r="C157" t="s">
        <v>90</v>
      </c>
      <c r="D157" s="466"/>
      <c r="E157" s="465"/>
      <c r="F157" s="465"/>
      <c r="G157" s="465"/>
      <c r="H157" s="465"/>
      <c r="I157" s="467"/>
      <c r="J157" s="467"/>
      <c r="K157" s="468"/>
      <c r="L157" s="467"/>
      <c r="M157" s="467"/>
      <c r="N157" s="467"/>
      <c r="O157" s="467"/>
      <c r="P157" s="465"/>
    </row>
    <row r="158" spans="2:16">
      <c r="C158" s="83"/>
      <c r="D158" s="466"/>
      <c r="E158" s="465"/>
      <c r="F158" s="465"/>
      <c r="G158" s="465"/>
      <c r="H158" s="465"/>
      <c r="I158" s="467"/>
      <c r="J158" s="467"/>
      <c r="K158" s="468"/>
      <c r="L158" s="467"/>
      <c r="M158" s="467"/>
      <c r="N158" s="467"/>
      <c r="O158" s="467"/>
      <c r="P158" s="465"/>
    </row>
    <row r="159" spans="2:16">
      <c r="C159" s="97" t="s">
        <v>130</v>
      </c>
      <c r="D159" s="466"/>
      <c r="E159" s="465"/>
      <c r="F159" s="465"/>
      <c r="G159" s="465"/>
      <c r="H159" s="465"/>
      <c r="I159" s="467"/>
      <c r="J159" s="467"/>
      <c r="K159" s="468"/>
      <c r="L159" s="467"/>
      <c r="M159" s="467"/>
      <c r="N159" s="467"/>
      <c r="O159" s="467"/>
      <c r="P159" s="465"/>
    </row>
    <row r="160" spans="2:16">
      <c r="C160" s="25" t="s">
        <v>76</v>
      </c>
      <c r="D160" s="480"/>
      <c r="E160" s="480"/>
      <c r="F160" s="480"/>
      <c r="G160" s="480"/>
      <c r="H160" s="468"/>
      <c r="I160" s="468"/>
      <c r="J160" s="492"/>
      <c r="K160" s="492"/>
      <c r="L160" s="492"/>
      <c r="M160" s="492"/>
      <c r="N160" s="492"/>
      <c r="O160" s="492"/>
      <c r="P160" s="465"/>
    </row>
    <row r="161" spans="3:16">
      <c r="C161" s="84" t="s">
        <v>77</v>
      </c>
      <c r="D161" s="480"/>
      <c r="E161" s="480"/>
      <c r="F161" s="480"/>
      <c r="G161" s="480"/>
      <c r="H161" s="468"/>
      <c r="I161" s="468"/>
      <c r="J161" s="492"/>
      <c r="K161" s="492"/>
      <c r="L161" s="492"/>
      <c r="M161" s="492"/>
      <c r="N161" s="492"/>
      <c r="O161" s="492"/>
      <c r="P161" s="465"/>
    </row>
    <row r="162" spans="3:16">
      <c r="C162" s="84"/>
      <c r="D162" s="480"/>
      <c r="E162" s="480"/>
      <c r="F162" s="480"/>
      <c r="G162" s="480"/>
      <c r="H162" s="468"/>
      <c r="I162" s="468"/>
      <c r="J162" s="492"/>
      <c r="K162" s="492"/>
      <c r="L162" s="492"/>
      <c r="M162" s="492"/>
      <c r="N162" s="492"/>
      <c r="O162" s="492"/>
      <c r="P162" s="465"/>
    </row>
    <row r="163" spans="3:16" ht="18">
      <c r="C163" s="84"/>
      <c r="D163" s="480"/>
      <c r="E163" s="480"/>
      <c r="F163" s="480"/>
      <c r="G163" s="480"/>
      <c r="H163" s="468"/>
      <c r="I163" s="468"/>
      <c r="J163" s="492"/>
      <c r="K163" s="492"/>
      <c r="L163" s="492"/>
      <c r="M163" s="492"/>
      <c r="N163" s="492"/>
      <c r="P163" s="95" t="s">
        <v>129</v>
      </c>
    </row>
  </sheetData>
  <conditionalFormatting sqref="C17:C73">
    <cfRule type="cellIs" dxfId="9" priority="1" stopIfTrue="1" operator="equal">
      <formula>$I$10</formula>
    </cfRule>
  </conditionalFormatting>
  <conditionalFormatting sqref="C100:C155">
    <cfRule type="cellIs" dxfId="8" priority="3" stopIfTrue="1" operator="equal">
      <formula>$J$93</formula>
    </cfRule>
  </conditionalFormatting>
  <pageMargins left="0.5" right="0.25" top="1" bottom="0.35" header="0.25" footer="0.5"/>
  <pageSetup scale="47" orientation="landscape"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BC2FF9-8878-4D6B-B546-6590EFC4CB12}">
  <dimension ref="A1:P163"/>
  <sheetViews>
    <sheetView topLeftCell="A14" zoomScale="80" zoomScaleNormal="80" workbookViewId="0">
      <selection activeCell="D14" sqref="D14"/>
    </sheetView>
  </sheetViews>
  <sheetFormatPr defaultRowHeight="12.75"/>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s>
  <sheetData>
    <row r="1" spans="1:16" ht="20.25">
      <c r="A1" s="93" t="s">
        <v>189</v>
      </c>
      <c r="B1" s="465"/>
      <c r="C1" s="465"/>
      <c r="D1" s="466"/>
      <c r="E1" s="465"/>
      <c r="F1" s="280"/>
      <c r="G1" s="465"/>
      <c r="H1" s="467"/>
      <c r="K1" s="12"/>
      <c r="L1" s="12"/>
      <c r="M1" s="12"/>
      <c r="P1" s="98" t="str">
        <f ca="1">"OKT Project "&amp;RIGHT(MID(CELL("filename",$A$1),FIND("]",CELL("filename",$A$1))+1,256),2)&amp;" of "&amp;COUNT('OKT.001:OKT.xyz - blank'!$P$3)-1</f>
        <v>OKT Project 24 of 26</v>
      </c>
    </row>
    <row r="2" spans="1:16" ht="18">
      <c r="B2" s="465"/>
      <c r="C2" s="465"/>
      <c r="D2" s="466"/>
      <c r="E2" s="465"/>
      <c r="F2" s="465"/>
      <c r="G2" s="465"/>
      <c r="H2" s="467"/>
      <c r="I2" s="465"/>
      <c r="J2" s="465"/>
      <c r="K2" s="465"/>
      <c r="L2" s="465"/>
      <c r="M2" s="465"/>
      <c r="N2" s="465"/>
      <c r="P2" s="99" t="s">
        <v>131</v>
      </c>
    </row>
    <row r="3" spans="1:16" ht="18.75">
      <c r="B3" s="4" t="s">
        <v>42</v>
      </c>
      <c r="C3" s="9" t="s">
        <v>43</v>
      </c>
      <c r="D3" s="466"/>
      <c r="E3" s="465"/>
      <c r="F3" s="465"/>
      <c r="G3" s="465"/>
      <c r="H3" s="467"/>
      <c r="I3" s="467"/>
      <c r="J3" s="468"/>
      <c r="K3" s="467"/>
      <c r="L3" s="467"/>
      <c r="M3" s="467"/>
      <c r="N3" s="467"/>
      <c r="O3" s="465"/>
      <c r="P3" s="91">
        <v>1</v>
      </c>
    </row>
    <row r="4" spans="1:16" ht="15.75" thickBot="1">
      <c r="C4" s="8"/>
      <c r="D4" s="466"/>
      <c r="E4" s="465"/>
      <c r="F4" s="465"/>
      <c r="G4" s="465"/>
      <c r="H4" s="467"/>
      <c r="I4" s="467"/>
      <c r="J4" s="468"/>
      <c r="K4" s="467"/>
      <c r="L4" s="467"/>
      <c r="M4" s="467"/>
      <c r="N4" s="467"/>
      <c r="O4" s="465"/>
      <c r="P4" s="465"/>
    </row>
    <row r="5" spans="1:16" ht="15">
      <c r="C5" s="14" t="s">
        <v>44</v>
      </c>
      <c r="D5" s="466"/>
      <c r="E5" s="465"/>
      <c r="F5" s="465"/>
      <c r="G5" s="15"/>
      <c r="H5" s="465" t="s">
        <v>45</v>
      </c>
      <c r="I5" s="465"/>
      <c r="J5" s="465"/>
      <c r="K5" s="16" t="s">
        <v>242</v>
      </c>
      <c r="L5" s="17"/>
      <c r="M5" s="469"/>
      <c r="N5" s="19">
        <f>VLOOKUP(I10,C17:I73,5)</f>
        <v>294289.53341276094</v>
      </c>
      <c r="P5" s="465"/>
    </row>
    <row r="6" spans="1:16" ht="15.75">
      <c r="C6" s="6"/>
      <c r="D6" s="466"/>
      <c r="E6" s="465"/>
      <c r="F6" s="465"/>
      <c r="G6" s="465"/>
      <c r="H6" s="20"/>
      <c r="I6" s="20"/>
      <c r="J6" s="21"/>
      <c r="K6" s="22" t="s">
        <v>243</v>
      </c>
      <c r="L6" s="23"/>
      <c r="M6" s="465"/>
      <c r="N6" s="24">
        <f>VLOOKUP(I10,C17:I73,6)</f>
        <v>294289.53341276094</v>
      </c>
      <c r="O6" s="465"/>
      <c r="P6" s="465"/>
    </row>
    <row r="7" spans="1:16" ht="13.5" thickBot="1">
      <c r="C7" s="25" t="s">
        <v>46</v>
      </c>
      <c r="D7" s="525" t="s">
        <v>307</v>
      </c>
      <c r="E7" s="465"/>
      <c r="F7" s="465"/>
      <c r="G7" s="465"/>
      <c r="H7" s="467"/>
      <c r="I7" s="467"/>
      <c r="J7" s="468"/>
      <c r="K7" s="26" t="s">
        <v>47</v>
      </c>
      <c r="L7" s="470"/>
      <c r="M7" s="470"/>
      <c r="N7" s="471">
        <f>+N6-N5</f>
        <v>0</v>
      </c>
      <c r="O7" s="465"/>
      <c r="P7" s="465"/>
    </row>
    <row r="8" spans="1:16" ht="13.5" thickBot="1">
      <c r="C8" s="29"/>
      <c r="D8" s="83"/>
      <c r="E8" s="472"/>
      <c r="F8" s="472"/>
      <c r="G8" s="472"/>
      <c r="H8" s="472"/>
      <c r="I8" s="472"/>
      <c r="J8" s="472"/>
      <c r="K8" s="472"/>
      <c r="L8" s="472"/>
      <c r="M8" s="472"/>
      <c r="N8" s="472"/>
      <c r="O8" s="472"/>
      <c r="P8" s="465"/>
    </row>
    <row r="9" spans="1:16" ht="13.5" thickBot="1">
      <c r="C9" s="30" t="s">
        <v>48</v>
      </c>
      <c r="D9" s="89" t="s">
        <v>315</v>
      </c>
      <c r="E9" s="473" t="s">
        <v>299</v>
      </c>
      <c r="F9" s="31">
        <v>81501</v>
      </c>
      <c r="G9" s="31"/>
      <c r="H9" s="31"/>
      <c r="I9" s="32"/>
      <c r="J9" s="33"/>
      <c r="P9" s="465"/>
    </row>
    <row r="10" spans="1:16">
      <c r="C10" s="474" t="s">
        <v>49</v>
      </c>
      <c r="D10" s="35">
        <v>3528095</v>
      </c>
      <c r="E10" s="465" t="s">
        <v>50</v>
      </c>
      <c r="G10" s="466"/>
      <c r="H10" s="466"/>
      <c r="I10" s="36">
        <v>2025</v>
      </c>
      <c r="J10" s="33"/>
      <c r="K10" s="468" t="s">
        <v>51</v>
      </c>
      <c r="O10" s="465"/>
      <c r="P10" s="465"/>
    </row>
    <row r="11" spans="1:16">
      <c r="C11" s="474" t="s">
        <v>52</v>
      </c>
      <c r="D11" s="37">
        <v>2025</v>
      </c>
      <c r="E11" s="474" t="s">
        <v>53</v>
      </c>
      <c r="F11" s="466"/>
      <c r="I11" s="475">
        <v>0</v>
      </c>
      <c r="J11" s="476"/>
      <c r="K11" t="str">
        <f>"          INPUT PROJECTED ARR (WITH &amp; WITHOUT INCENTIVES) FROM EACH PRIOR YEAR"</f>
        <v xml:space="preserve">          INPUT PROJECTED ARR (WITH &amp; WITHOUT INCENTIVES) FROM EACH PRIOR YEAR</v>
      </c>
      <c r="O11" s="465"/>
      <c r="P11" s="465"/>
    </row>
    <row r="12" spans="1:16">
      <c r="C12" s="474" t="s">
        <v>54</v>
      </c>
      <c r="D12" s="35">
        <v>2</v>
      </c>
      <c r="E12" s="474" t="s">
        <v>55</v>
      </c>
      <c r="F12" s="466"/>
      <c r="I12" s="477">
        <v>0.11475877389767174</v>
      </c>
      <c r="J12" s="280"/>
      <c r="K12" t="s">
        <v>56</v>
      </c>
      <c r="O12" s="465"/>
      <c r="P12" s="465"/>
    </row>
    <row r="13" spans="1:16">
      <c r="C13" s="474" t="s">
        <v>57</v>
      </c>
      <c r="D13" s="475">
        <v>30</v>
      </c>
      <c r="E13" s="474" t="s">
        <v>58</v>
      </c>
      <c r="F13" s="466"/>
      <c r="I13" s="477">
        <v>0.11475877389767174</v>
      </c>
      <c r="J13" s="280"/>
      <c r="K13" s="468" t="s">
        <v>59</v>
      </c>
      <c r="L13" s="280"/>
      <c r="M13" s="280"/>
      <c r="N13" s="280"/>
      <c r="O13" s="465"/>
      <c r="P13" s="465"/>
    </row>
    <row r="14" spans="1:16" ht="13.5" thickBot="1">
      <c r="C14" s="474" t="s">
        <v>60</v>
      </c>
      <c r="D14" s="37" t="s">
        <v>61</v>
      </c>
      <c r="E14" s="465" t="s">
        <v>62</v>
      </c>
      <c r="F14" s="466"/>
      <c r="I14" s="478">
        <f>IF(D10=0,0,D10/D13)</f>
        <v>117603.16666666667</v>
      </c>
      <c r="J14" s="468"/>
      <c r="K14" s="468"/>
      <c r="L14" s="468"/>
      <c r="M14" s="468"/>
      <c r="N14" s="468"/>
      <c r="O14" s="465"/>
      <c r="P14" s="465"/>
    </row>
    <row r="15" spans="1:16" ht="38.25">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465"/>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465"/>
    </row>
    <row r="17" spans="2:16">
      <c r="B17" t="str">
        <f t="shared" ref="B17:B71" si="0">IF(D17=F16,"","IU")</f>
        <v>IU</v>
      </c>
      <c r="C17" s="479">
        <f>IF(D11= "","-",D11)</f>
        <v>2025</v>
      </c>
      <c r="D17" s="112">
        <v>0</v>
      </c>
      <c r="E17" s="112">
        <v>98002.633450488807</v>
      </c>
      <c r="F17" s="112">
        <v>3430092.170767108</v>
      </c>
      <c r="G17" s="112">
        <v>294289.53341276094</v>
      </c>
      <c r="H17" s="112">
        <v>294289.53341276094</v>
      </c>
      <c r="I17" s="482">
        <v>0</v>
      </c>
      <c r="J17" s="482"/>
      <c r="K17" s="114">
        <f>+G17</f>
        <v>294289.53341276094</v>
      </c>
      <c r="L17" s="52">
        <f t="shared" ref="L17" si="1">IF(K17&lt;&gt;0,+G17-K17,0)</f>
        <v>0</v>
      </c>
      <c r="M17" s="114">
        <f>+H17</f>
        <v>294289.53341276094</v>
      </c>
      <c r="N17" s="483">
        <f t="shared" ref="N17" si="2">IF(M17&lt;&gt;0,+H17-M17,0)</f>
        <v>0</v>
      </c>
      <c r="O17" s="484">
        <f t="shared" ref="O17" si="3">+N17-L17</f>
        <v>0</v>
      </c>
      <c r="P17" s="465"/>
    </row>
    <row r="18" spans="2:16">
      <c r="B18" t="str">
        <f t="shared" si="0"/>
        <v>IU</v>
      </c>
      <c r="C18" s="479">
        <f>IF(D11="","-",+C17+1)</f>
        <v>2026</v>
      </c>
      <c r="D18" s="481">
        <f>IF(F17+SUM(E$17:E17)=D$10,F17,D$10-SUM(E$17:E17))</f>
        <v>3430092.366549511</v>
      </c>
      <c r="E18" s="55">
        <f t="shared" ref="E18:E71" si="4">IF(+I$14&lt;F17,I$14,D18)</f>
        <v>117603.16666666667</v>
      </c>
      <c r="F18" s="481">
        <f t="shared" ref="F18:F71" si="5">+D18-E18</f>
        <v>3312489.1998828445</v>
      </c>
      <c r="G18" s="485">
        <f t="shared" ref="G18:G71" si="6">(D18+F18)/2*I$12+E18</f>
        <v>504488.36340107664</v>
      </c>
      <c r="H18" s="478">
        <f t="shared" ref="H18:H71" si="7">+(D18+F18)/2*I$13+E18</f>
        <v>504488.36340107664</v>
      </c>
      <c r="I18" s="482">
        <f t="shared" ref="I18:I71" si="8">H18-G18</f>
        <v>0</v>
      </c>
      <c r="J18" s="482"/>
      <c r="K18" s="112"/>
      <c r="L18" s="484">
        <f t="shared" ref="L18:L71" si="9">IF(K18&lt;&gt;0,+G18-K18,0)</f>
        <v>0</v>
      </c>
      <c r="M18" s="112"/>
      <c r="N18" s="484">
        <f t="shared" ref="N18:N71" si="10">IF(M18&lt;&gt;0,+H18-M18,0)</f>
        <v>0</v>
      </c>
      <c r="O18" s="484">
        <f t="shared" ref="O18:O71" si="11">+N18-L18</f>
        <v>0</v>
      </c>
      <c r="P18" s="465"/>
    </row>
    <row r="19" spans="2:16">
      <c r="B19" t="str">
        <f t="shared" si="0"/>
        <v/>
      </c>
      <c r="C19" s="479">
        <f>IF(D11="","-",+C18+1)</f>
        <v>2027</v>
      </c>
      <c r="D19" s="481">
        <f>IF(F18+SUM(E$17:E18)=D$10,F18,D$10-SUM(E$17:E18))</f>
        <v>3312489.1998828445</v>
      </c>
      <c r="E19" s="55">
        <f t="shared" si="4"/>
        <v>117603.16666666667</v>
      </c>
      <c r="F19" s="481">
        <f t="shared" si="5"/>
        <v>3194886.033216178</v>
      </c>
      <c r="G19" s="485">
        <f t="shared" si="6"/>
        <v>490992.36818792654</v>
      </c>
      <c r="H19" s="478">
        <f t="shared" si="7"/>
        <v>490992.36818792654</v>
      </c>
      <c r="I19" s="482">
        <f t="shared" si="8"/>
        <v>0</v>
      </c>
      <c r="J19" s="482"/>
      <c r="K19" s="112"/>
      <c r="L19" s="484">
        <f t="shared" si="9"/>
        <v>0</v>
      </c>
      <c r="M19" s="112"/>
      <c r="N19" s="484">
        <f t="shared" si="10"/>
        <v>0</v>
      </c>
      <c r="O19" s="484">
        <f t="shared" si="11"/>
        <v>0</v>
      </c>
      <c r="P19" s="465"/>
    </row>
    <row r="20" spans="2:16">
      <c r="B20" t="str">
        <f t="shared" si="0"/>
        <v/>
      </c>
      <c r="C20" s="479">
        <f>IF(D11="","-",+C19+1)</f>
        <v>2028</v>
      </c>
      <c r="D20" s="481">
        <f>IF(F19+SUM(E$17:E19)=D$10,F19,D$10-SUM(E$17:E19))</f>
        <v>3194886.033216178</v>
      </c>
      <c r="E20" s="55">
        <f t="shared" si="4"/>
        <v>117603.16666666667</v>
      </c>
      <c r="F20" s="481">
        <f t="shared" si="5"/>
        <v>3077282.8665495114</v>
      </c>
      <c r="G20" s="485">
        <f t="shared" si="6"/>
        <v>477496.37297477631</v>
      </c>
      <c r="H20" s="478">
        <f t="shared" si="7"/>
        <v>477496.37297477631</v>
      </c>
      <c r="I20" s="482">
        <f t="shared" si="8"/>
        <v>0</v>
      </c>
      <c r="J20" s="482"/>
      <c r="K20" s="112"/>
      <c r="L20" s="484">
        <f t="shared" si="9"/>
        <v>0</v>
      </c>
      <c r="M20" s="112"/>
      <c r="N20" s="484">
        <f t="shared" si="10"/>
        <v>0</v>
      </c>
      <c r="O20" s="484">
        <f t="shared" si="11"/>
        <v>0</v>
      </c>
      <c r="P20" s="465"/>
    </row>
    <row r="21" spans="2:16">
      <c r="B21" t="str">
        <f t="shared" si="0"/>
        <v/>
      </c>
      <c r="C21" s="479">
        <f>IF(D11="","-",+C20+1)</f>
        <v>2029</v>
      </c>
      <c r="D21" s="481">
        <f>IF(F20+SUM(E$17:E20)=D$10,F20,D$10-SUM(E$17:E20))</f>
        <v>3077282.8665495114</v>
      </c>
      <c r="E21" s="55">
        <f t="shared" si="4"/>
        <v>117603.16666666667</v>
      </c>
      <c r="F21" s="481">
        <f t="shared" si="5"/>
        <v>2959679.6998828449</v>
      </c>
      <c r="G21" s="485">
        <f t="shared" si="6"/>
        <v>464000.37776162615</v>
      </c>
      <c r="H21" s="478">
        <f t="shared" si="7"/>
        <v>464000.37776162615</v>
      </c>
      <c r="I21" s="482">
        <f t="shared" si="8"/>
        <v>0</v>
      </c>
      <c r="J21" s="482"/>
      <c r="K21" s="112"/>
      <c r="L21" s="484">
        <f t="shared" si="9"/>
        <v>0</v>
      </c>
      <c r="M21" s="112"/>
      <c r="N21" s="484">
        <f t="shared" si="10"/>
        <v>0</v>
      </c>
      <c r="O21" s="484">
        <f t="shared" si="11"/>
        <v>0</v>
      </c>
      <c r="P21" s="465"/>
    </row>
    <row r="22" spans="2:16">
      <c r="B22" t="str">
        <f t="shared" si="0"/>
        <v/>
      </c>
      <c r="C22" s="479">
        <f>IF(D11="","-",+C21+1)</f>
        <v>2030</v>
      </c>
      <c r="D22" s="481">
        <f>IF(F21+SUM(E$17:E21)=D$10,F21,D$10-SUM(E$17:E21))</f>
        <v>2959679.6998828449</v>
      </c>
      <c r="E22" s="55">
        <f t="shared" si="4"/>
        <v>117603.16666666667</v>
      </c>
      <c r="F22" s="481">
        <f t="shared" si="5"/>
        <v>2842076.5332161784</v>
      </c>
      <c r="G22" s="485">
        <f t="shared" si="6"/>
        <v>450504.38254847593</v>
      </c>
      <c r="H22" s="478">
        <f t="shared" si="7"/>
        <v>450504.38254847593</v>
      </c>
      <c r="I22" s="482">
        <f t="shared" si="8"/>
        <v>0</v>
      </c>
      <c r="J22" s="482"/>
      <c r="K22" s="112"/>
      <c r="L22" s="484">
        <f t="shared" si="9"/>
        <v>0</v>
      </c>
      <c r="M22" s="112"/>
      <c r="N22" s="484">
        <f t="shared" si="10"/>
        <v>0</v>
      </c>
      <c r="O22" s="484">
        <f t="shared" si="11"/>
        <v>0</v>
      </c>
      <c r="P22" s="465"/>
    </row>
    <row r="23" spans="2:16">
      <c r="B23" t="str">
        <f t="shared" si="0"/>
        <v/>
      </c>
      <c r="C23" s="479">
        <f>IF(D11="","-",+C22+1)</f>
        <v>2031</v>
      </c>
      <c r="D23" s="481">
        <f>IF(F22+SUM(E$17:E22)=D$10,F22,D$10-SUM(E$17:E22))</f>
        <v>2842076.5332161784</v>
      </c>
      <c r="E23" s="55">
        <f t="shared" si="4"/>
        <v>117603.16666666667</v>
      </c>
      <c r="F23" s="481">
        <f t="shared" si="5"/>
        <v>2724473.3665495119</v>
      </c>
      <c r="G23" s="485">
        <f t="shared" si="6"/>
        <v>437008.38733532577</v>
      </c>
      <c r="H23" s="478">
        <f t="shared" si="7"/>
        <v>437008.38733532577</v>
      </c>
      <c r="I23" s="482">
        <f t="shared" si="8"/>
        <v>0</v>
      </c>
      <c r="J23" s="482"/>
      <c r="K23" s="112"/>
      <c r="L23" s="484">
        <f t="shared" si="9"/>
        <v>0</v>
      </c>
      <c r="M23" s="112"/>
      <c r="N23" s="484">
        <f t="shared" si="10"/>
        <v>0</v>
      </c>
      <c r="O23" s="484">
        <f t="shared" si="11"/>
        <v>0</v>
      </c>
      <c r="P23" s="465"/>
    </row>
    <row r="24" spans="2:16">
      <c r="B24" t="str">
        <f t="shared" si="0"/>
        <v/>
      </c>
      <c r="C24" s="479">
        <f>IF(D11="","-",+C23+1)</f>
        <v>2032</v>
      </c>
      <c r="D24" s="481">
        <f>IF(F23+SUM(E$17:E23)=D$10,F23,D$10-SUM(E$17:E23))</f>
        <v>2724473.3665495119</v>
      </c>
      <c r="E24" s="55">
        <f t="shared" si="4"/>
        <v>117603.16666666667</v>
      </c>
      <c r="F24" s="481">
        <f t="shared" si="5"/>
        <v>2606870.1998828454</v>
      </c>
      <c r="G24" s="485">
        <f t="shared" si="6"/>
        <v>423512.39212217554</v>
      </c>
      <c r="H24" s="478">
        <f t="shared" si="7"/>
        <v>423512.39212217554</v>
      </c>
      <c r="I24" s="482">
        <f t="shared" si="8"/>
        <v>0</v>
      </c>
      <c r="J24" s="482"/>
      <c r="K24" s="112"/>
      <c r="L24" s="484">
        <f t="shared" si="9"/>
        <v>0</v>
      </c>
      <c r="M24" s="112"/>
      <c r="N24" s="484">
        <f t="shared" si="10"/>
        <v>0</v>
      </c>
      <c r="O24" s="484">
        <f t="shared" si="11"/>
        <v>0</v>
      </c>
      <c r="P24" s="465"/>
    </row>
    <row r="25" spans="2:16">
      <c r="B25" t="str">
        <f t="shared" si="0"/>
        <v/>
      </c>
      <c r="C25" s="479">
        <f>IF(D11="","-",+C24+1)</f>
        <v>2033</v>
      </c>
      <c r="D25" s="481">
        <f>IF(F24+SUM(E$17:E24)=D$10,F24,D$10-SUM(E$17:E24))</f>
        <v>2606870.1998828454</v>
      </c>
      <c r="E25" s="55">
        <f t="shared" si="4"/>
        <v>117603.16666666667</v>
      </c>
      <c r="F25" s="481">
        <f t="shared" si="5"/>
        <v>2489267.0332161789</v>
      </c>
      <c r="G25" s="485">
        <f t="shared" si="6"/>
        <v>410016.39690902538</v>
      </c>
      <c r="H25" s="478">
        <f t="shared" si="7"/>
        <v>410016.39690902538</v>
      </c>
      <c r="I25" s="482">
        <f t="shared" si="8"/>
        <v>0</v>
      </c>
      <c r="J25" s="482"/>
      <c r="K25" s="112"/>
      <c r="L25" s="484">
        <f t="shared" si="9"/>
        <v>0</v>
      </c>
      <c r="M25" s="112"/>
      <c r="N25" s="484">
        <f t="shared" si="10"/>
        <v>0</v>
      </c>
      <c r="O25" s="484">
        <f t="shared" si="11"/>
        <v>0</v>
      </c>
      <c r="P25" s="465"/>
    </row>
    <row r="26" spans="2:16">
      <c r="B26" t="str">
        <f t="shared" si="0"/>
        <v/>
      </c>
      <c r="C26" s="479">
        <f>IF(D11="","-",+C25+1)</f>
        <v>2034</v>
      </c>
      <c r="D26" s="481">
        <f>IF(F25+SUM(E$17:E25)=D$10,F25,D$10-SUM(E$17:E25))</f>
        <v>2489267.0332161789</v>
      </c>
      <c r="E26" s="55">
        <f t="shared" si="4"/>
        <v>117603.16666666667</v>
      </c>
      <c r="F26" s="481">
        <f t="shared" si="5"/>
        <v>2371663.8665495124</v>
      </c>
      <c r="G26" s="485">
        <f t="shared" si="6"/>
        <v>396520.40169587516</v>
      </c>
      <c r="H26" s="478">
        <f t="shared" si="7"/>
        <v>396520.40169587516</v>
      </c>
      <c r="I26" s="482">
        <f t="shared" si="8"/>
        <v>0</v>
      </c>
      <c r="J26" s="482"/>
      <c r="K26" s="112"/>
      <c r="L26" s="484">
        <f t="shared" si="9"/>
        <v>0</v>
      </c>
      <c r="M26" s="112"/>
      <c r="N26" s="484">
        <f t="shared" si="10"/>
        <v>0</v>
      </c>
      <c r="O26" s="484">
        <f t="shared" si="11"/>
        <v>0</v>
      </c>
      <c r="P26" s="465"/>
    </row>
    <row r="27" spans="2:16">
      <c r="B27" t="str">
        <f t="shared" si="0"/>
        <v/>
      </c>
      <c r="C27" s="479">
        <f>IF(D11="","-",+C26+1)</f>
        <v>2035</v>
      </c>
      <c r="D27" s="481">
        <f>IF(F26+SUM(E$17:E26)=D$10,F26,D$10-SUM(E$17:E26))</f>
        <v>2371663.8665495124</v>
      </c>
      <c r="E27" s="55">
        <f t="shared" si="4"/>
        <v>117603.16666666667</v>
      </c>
      <c r="F27" s="481">
        <f t="shared" si="5"/>
        <v>2254060.6998828459</v>
      </c>
      <c r="G27" s="485">
        <f t="shared" si="6"/>
        <v>383024.406482725</v>
      </c>
      <c r="H27" s="478">
        <f t="shared" si="7"/>
        <v>383024.406482725</v>
      </c>
      <c r="I27" s="482">
        <f t="shared" si="8"/>
        <v>0</v>
      </c>
      <c r="J27" s="482"/>
      <c r="K27" s="112"/>
      <c r="L27" s="484">
        <f t="shared" si="9"/>
        <v>0</v>
      </c>
      <c r="M27" s="112"/>
      <c r="N27" s="484">
        <f t="shared" si="10"/>
        <v>0</v>
      </c>
      <c r="O27" s="484">
        <f t="shared" si="11"/>
        <v>0</v>
      </c>
      <c r="P27" s="465"/>
    </row>
    <row r="28" spans="2:16">
      <c r="B28" t="str">
        <f t="shared" si="0"/>
        <v/>
      </c>
      <c r="C28" s="479">
        <f>IF(D11="","-",+C27+1)</f>
        <v>2036</v>
      </c>
      <c r="D28" s="481">
        <f>IF(F27+SUM(E$17:E27)=D$10,F27,D$10-SUM(E$17:E27))</f>
        <v>2254060.6998828459</v>
      </c>
      <c r="E28" s="55">
        <f t="shared" si="4"/>
        <v>117603.16666666667</v>
      </c>
      <c r="F28" s="481">
        <f t="shared" si="5"/>
        <v>2136457.5332161793</v>
      </c>
      <c r="G28" s="485">
        <f t="shared" si="6"/>
        <v>369528.41126957478</v>
      </c>
      <c r="H28" s="478">
        <f t="shared" si="7"/>
        <v>369528.41126957478</v>
      </c>
      <c r="I28" s="482">
        <f t="shared" si="8"/>
        <v>0</v>
      </c>
      <c r="J28" s="482"/>
      <c r="K28" s="112"/>
      <c r="L28" s="484">
        <f t="shared" si="9"/>
        <v>0</v>
      </c>
      <c r="M28" s="112"/>
      <c r="N28" s="484">
        <f t="shared" si="10"/>
        <v>0</v>
      </c>
      <c r="O28" s="484">
        <f t="shared" si="11"/>
        <v>0</v>
      </c>
      <c r="P28" s="465"/>
    </row>
    <row r="29" spans="2:16">
      <c r="B29" t="str">
        <f t="shared" si="0"/>
        <v/>
      </c>
      <c r="C29" s="479">
        <f>IF(D11="","-",+C28+1)</f>
        <v>2037</v>
      </c>
      <c r="D29" s="481">
        <f>IF(F28+SUM(E$17:E28)=D$10,F28,D$10-SUM(E$17:E28))</f>
        <v>2136457.5332161793</v>
      </c>
      <c r="E29" s="55">
        <f t="shared" si="4"/>
        <v>117603.16666666667</v>
      </c>
      <c r="F29" s="481">
        <f t="shared" si="5"/>
        <v>2018854.3665495126</v>
      </c>
      <c r="G29" s="485">
        <f t="shared" si="6"/>
        <v>356032.41605642455</v>
      </c>
      <c r="H29" s="478">
        <f t="shared" si="7"/>
        <v>356032.41605642455</v>
      </c>
      <c r="I29" s="482">
        <f t="shared" si="8"/>
        <v>0</v>
      </c>
      <c r="J29" s="482"/>
      <c r="K29" s="112"/>
      <c r="L29" s="484">
        <f t="shared" si="9"/>
        <v>0</v>
      </c>
      <c r="M29" s="112"/>
      <c r="N29" s="484">
        <f t="shared" si="10"/>
        <v>0</v>
      </c>
      <c r="O29" s="484">
        <f t="shared" si="11"/>
        <v>0</v>
      </c>
      <c r="P29" s="465"/>
    </row>
    <row r="30" spans="2:16">
      <c r="B30" t="str">
        <f t="shared" si="0"/>
        <v/>
      </c>
      <c r="C30" s="479">
        <f>IF(D11="","-",+C29+1)</f>
        <v>2038</v>
      </c>
      <c r="D30" s="481">
        <f>IF(F29+SUM(E$17:E29)=D$10,F29,D$10-SUM(E$17:E29))</f>
        <v>2018854.3665495126</v>
      </c>
      <c r="E30" s="55">
        <f t="shared" si="4"/>
        <v>117603.16666666667</v>
      </c>
      <c r="F30" s="481">
        <f t="shared" si="5"/>
        <v>1901251.1998828459</v>
      </c>
      <c r="G30" s="485">
        <f t="shared" si="6"/>
        <v>342536.42084327439</v>
      </c>
      <c r="H30" s="478">
        <f t="shared" si="7"/>
        <v>342536.42084327439</v>
      </c>
      <c r="I30" s="482">
        <f t="shared" si="8"/>
        <v>0</v>
      </c>
      <c r="J30" s="482"/>
      <c r="K30" s="112"/>
      <c r="L30" s="484">
        <f t="shared" si="9"/>
        <v>0</v>
      </c>
      <c r="M30" s="112"/>
      <c r="N30" s="484">
        <f t="shared" si="10"/>
        <v>0</v>
      </c>
      <c r="O30" s="484">
        <f t="shared" si="11"/>
        <v>0</v>
      </c>
      <c r="P30" s="465"/>
    </row>
    <row r="31" spans="2:16">
      <c r="B31" t="str">
        <f t="shared" si="0"/>
        <v/>
      </c>
      <c r="C31" s="479">
        <f>IF(D11="","-",+C30+1)</f>
        <v>2039</v>
      </c>
      <c r="D31" s="481">
        <f>IF(F30+SUM(E$17:E30)=D$10,F30,D$10-SUM(E$17:E30))</f>
        <v>1901251.1998828459</v>
      </c>
      <c r="E31" s="55">
        <f t="shared" si="4"/>
        <v>117603.16666666667</v>
      </c>
      <c r="F31" s="481">
        <f t="shared" si="5"/>
        <v>1783648.0332161791</v>
      </c>
      <c r="G31" s="485">
        <f t="shared" si="6"/>
        <v>329040.42563012417</v>
      </c>
      <c r="H31" s="478">
        <f t="shared" si="7"/>
        <v>329040.42563012417</v>
      </c>
      <c r="I31" s="482">
        <f t="shared" si="8"/>
        <v>0</v>
      </c>
      <c r="J31" s="482"/>
      <c r="K31" s="112"/>
      <c r="L31" s="484">
        <f t="shared" si="9"/>
        <v>0</v>
      </c>
      <c r="M31" s="112"/>
      <c r="N31" s="484">
        <f t="shared" si="10"/>
        <v>0</v>
      </c>
      <c r="O31" s="484">
        <f t="shared" si="11"/>
        <v>0</v>
      </c>
      <c r="P31" s="465"/>
    </row>
    <row r="32" spans="2:16">
      <c r="B32" t="str">
        <f t="shared" si="0"/>
        <v/>
      </c>
      <c r="C32" s="479">
        <f>IF(D11="","-",+C31+1)</f>
        <v>2040</v>
      </c>
      <c r="D32" s="481">
        <f>IF(F31+SUM(E$17:E31)=D$10,F31,D$10-SUM(E$17:E31))</f>
        <v>1783648.0332161791</v>
      </c>
      <c r="E32" s="55">
        <f t="shared" si="4"/>
        <v>117603.16666666667</v>
      </c>
      <c r="F32" s="481">
        <f t="shared" si="5"/>
        <v>1666044.8665495124</v>
      </c>
      <c r="G32" s="485">
        <f t="shared" si="6"/>
        <v>315544.43041697395</v>
      </c>
      <c r="H32" s="478">
        <f t="shared" si="7"/>
        <v>315544.43041697395</v>
      </c>
      <c r="I32" s="482">
        <f t="shared" si="8"/>
        <v>0</v>
      </c>
      <c r="J32" s="482"/>
      <c r="K32" s="112"/>
      <c r="L32" s="484">
        <f t="shared" si="9"/>
        <v>0</v>
      </c>
      <c r="M32" s="112"/>
      <c r="N32" s="484">
        <f t="shared" si="10"/>
        <v>0</v>
      </c>
      <c r="O32" s="484">
        <f t="shared" si="11"/>
        <v>0</v>
      </c>
      <c r="P32" s="465"/>
    </row>
    <row r="33" spans="2:16">
      <c r="B33" t="str">
        <f t="shared" si="0"/>
        <v/>
      </c>
      <c r="C33" s="479">
        <f>IF(D11="","-",+C32+1)</f>
        <v>2041</v>
      </c>
      <c r="D33" s="481">
        <f>IF(F32+SUM(E$17:E32)=D$10,F32,D$10-SUM(E$17:E32))</f>
        <v>1666044.8665495124</v>
      </c>
      <c r="E33" s="55">
        <f t="shared" si="4"/>
        <v>117603.16666666667</v>
      </c>
      <c r="F33" s="481">
        <f t="shared" si="5"/>
        <v>1548441.6998828456</v>
      </c>
      <c r="G33" s="485">
        <f t="shared" si="6"/>
        <v>302048.43520382373</v>
      </c>
      <c r="H33" s="478">
        <f t="shared" si="7"/>
        <v>302048.43520382373</v>
      </c>
      <c r="I33" s="482">
        <f t="shared" si="8"/>
        <v>0</v>
      </c>
      <c r="J33" s="482"/>
      <c r="K33" s="112"/>
      <c r="L33" s="484">
        <f t="shared" si="9"/>
        <v>0</v>
      </c>
      <c r="M33" s="112"/>
      <c r="N33" s="484">
        <f t="shared" si="10"/>
        <v>0</v>
      </c>
      <c r="O33" s="484">
        <f t="shared" si="11"/>
        <v>0</v>
      </c>
      <c r="P33" s="465"/>
    </row>
    <row r="34" spans="2:16">
      <c r="B34" t="str">
        <f t="shared" si="0"/>
        <v/>
      </c>
      <c r="C34" s="479">
        <f>IF(D11="","-",+C33+1)</f>
        <v>2042</v>
      </c>
      <c r="D34" s="481">
        <f>IF(F33+SUM(E$17:E33)=D$10,F33,D$10-SUM(E$17:E33))</f>
        <v>1548441.6998828456</v>
      </c>
      <c r="E34" s="55">
        <f t="shared" si="4"/>
        <v>117603.16666666667</v>
      </c>
      <c r="F34" s="481">
        <f t="shared" si="5"/>
        <v>1430838.5332161789</v>
      </c>
      <c r="G34" s="485">
        <f t="shared" si="6"/>
        <v>288552.43999067356</v>
      </c>
      <c r="H34" s="478">
        <f t="shared" si="7"/>
        <v>288552.43999067356</v>
      </c>
      <c r="I34" s="482">
        <f t="shared" si="8"/>
        <v>0</v>
      </c>
      <c r="J34" s="482"/>
      <c r="K34" s="112"/>
      <c r="L34" s="484">
        <f t="shared" si="9"/>
        <v>0</v>
      </c>
      <c r="M34" s="112"/>
      <c r="N34" s="484">
        <f t="shared" si="10"/>
        <v>0</v>
      </c>
      <c r="O34" s="484">
        <f t="shared" si="11"/>
        <v>0</v>
      </c>
      <c r="P34" s="465"/>
    </row>
    <row r="35" spans="2:16">
      <c r="B35" t="str">
        <f t="shared" si="0"/>
        <v/>
      </c>
      <c r="C35" s="479">
        <f>IF(D11="","-",+C34+1)</f>
        <v>2043</v>
      </c>
      <c r="D35" s="481">
        <f>IF(F34+SUM(E$17:E34)=D$10,F34,D$10-SUM(E$17:E34))</f>
        <v>1430838.5332161789</v>
      </c>
      <c r="E35" s="55">
        <f t="shared" si="4"/>
        <v>117603.16666666667</v>
      </c>
      <c r="F35" s="481">
        <f t="shared" si="5"/>
        <v>1313235.3665495121</v>
      </c>
      <c r="G35" s="485">
        <f t="shared" si="6"/>
        <v>275056.44477752328</v>
      </c>
      <c r="H35" s="478">
        <f t="shared" si="7"/>
        <v>275056.44477752328</v>
      </c>
      <c r="I35" s="482">
        <f t="shared" si="8"/>
        <v>0</v>
      </c>
      <c r="J35" s="482"/>
      <c r="K35" s="112"/>
      <c r="L35" s="484">
        <f t="shared" si="9"/>
        <v>0</v>
      </c>
      <c r="M35" s="112"/>
      <c r="N35" s="484">
        <f t="shared" si="10"/>
        <v>0</v>
      </c>
      <c r="O35" s="484">
        <f t="shared" si="11"/>
        <v>0</v>
      </c>
      <c r="P35" s="465"/>
    </row>
    <row r="36" spans="2:16">
      <c r="B36" t="str">
        <f t="shared" si="0"/>
        <v/>
      </c>
      <c r="C36" s="479">
        <f>IF(D11="","-",+C35+1)</f>
        <v>2044</v>
      </c>
      <c r="D36" s="481">
        <f>IF(F35+SUM(E$17:E35)=D$10,F35,D$10-SUM(E$17:E35))</f>
        <v>1313235.3665495121</v>
      </c>
      <c r="E36" s="55">
        <f t="shared" si="4"/>
        <v>117603.16666666667</v>
      </c>
      <c r="F36" s="481">
        <f t="shared" si="5"/>
        <v>1195632.1998828454</v>
      </c>
      <c r="G36" s="485">
        <f t="shared" si="6"/>
        <v>261560.44956437312</v>
      </c>
      <c r="H36" s="478">
        <f t="shared" si="7"/>
        <v>261560.44956437312</v>
      </c>
      <c r="I36" s="482">
        <f t="shared" si="8"/>
        <v>0</v>
      </c>
      <c r="J36" s="482"/>
      <c r="K36" s="112"/>
      <c r="L36" s="484">
        <f t="shared" si="9"/>
        <v>0</v>
      </c>
      <c r="M36" s="112"/>
      <c r="N36" s="484">
        <f t="shared" si="10"/>
        <v>0</v>
      </c>
      <c r="O36" s="484">
        <f t="shared" si="11"/>
        <v>0</v>
      </c>
      <c r="P36" s="465"/>
    </row>
    <row r="37" spans="2:16">
      <c r="B37" t="str">
        <f t="shared" si="0"/>
        <v/>
      </c>
      <c r="C37" s="479">
        <f>IF(D11="","-",+C36+1)</f>
        <v>2045</v>
      </c>
      <c r="D37" s="481">
        <f>IF(F36+SUM(E$17:E36)=D$10,F36,D$10-SUM(E$17:E36))</f>
        <v>1195632.1998828454</v>
      </c>
      <c r="E37" s="55">
        <f t="shared" si="4"/>
        <v>117603.16666666667</v>
      </c>
      <c r="F37" s="481">
        <f t="shared" si="5"/>
        <v>1078029.0332161787</v>
      </c>
      <c r="G37" s="485">
        <f t="shared" si="6"/>
        <v>248064.45435122287</v>
      </c>
      <c r="H37" s="478">
        <f t="shared" si="7"/>
        <v>248064.45435122287</v>
      </c>
      <c r="I37" s="482">
        <f t="shared" si="8"/>
        <v>0</v>
      </c>
      <c r="J37" s="482"/>
      <c r="K37" s="112"/>
      <c r="L37" s="484">
        <f t="shared" si="9"/>
        <v>0</v>
      </c>
      <c r="M37" s="112"/>
      <c r="N37" s="484">
        <f t="shared" si="10"/>
        <v>0</v>
      </c>
      <c r="O37" s="484">
        <f t="shared" si="11"/>
        <v>0</v>
      </c>
      <c r="P37" s="465"/>
    </row>
    <row r="38" spans="2:16">
      <c r="B38" t="str">
        <f t="shared" si="0"/>
        <v/>
      </c>
      <c r="C38" s="479">
        <f>IF(D11="","-",+C37+1)</f>
        <v>2046</v>
      </c>
      <c r="D38" s="481">
        <f>IF(F37+SUM(E$17:E37)=D$10,F37,D$10-SUM(E$17:E37))</f>
        <v>1078029.0332161787</v>
      </c>
      <c r="E38" s="55">
        <f t="shared" si="4"/>
        <v>117603.16666666667</v>
      </c>
      <c r="F38" s="481">
        <f t="shared" si="5"/>
        <v>960425.86654951202</v>
      </c>
      <c r="G38" s="485">
        <f t="shared" si="6"/>
        <v>234568.45913807268</v>
      </c>
      <c r="H38" s="478">
        <f t="shared" si="7"/>
        <v>234568.45913807268</v>
      </c>
      <c r="I38" s="482">
        <f t="shared" si="8"/>
        <v>0</v>
      </c>
      <c r="J38" s="482"/>
      <c r="K38" s="112"/>
      <c r="L38" s="484">
        <f t="shared" si="9"/>
        <v>0</v>
      </c>
      <c r="M38" s="112"/>
      <c r="N38" s="484">
        <f t="shared" si="10"/>
        <v>0</v>
      </c>
      <c r="O38" s="484">
        <f t="shared" si="11"/>
        <v>0</v>
      </c>
      <c r="P38" s="465"/>
    </row>
    <row r="39" spans="2:16">
      <c r="B39" t="str">
        <f t="shared" si="0"/>
        <v/>
      </c>
      <c r="C39" s="479">
        <f>IF(D11="","-",+C38+1)</f>
        <v>2047</v>
      </c>
      <c r="D39" s="481">
        <f>IF(F38+SUM(E$17:E38)=D$10,F38,D$10-SUM(E$17:E38))</f>
        <v>960425.86654951202</v>
      </c>
      <c r="E39" s="55">
        <f t="shared" si="4"/>
        <v>117603.16666666667</v>
      </c>
      <c r="F39" s="481">
        <f t="shared" si="5"/>
        <v>842822.69988284539</v>
      </c>
      <c r="G39" s="485">
        <f t="shared" si="6"/>
        <v>221072.46392492246</v>
      </c>
      <c r="H39" s="478">
        <f t="shared" si="7"/>
        <v>221072.46392492246</v>
      </c>
      <c r="I39" s="482">
        <f t="shared" si="8"/>
        <v>0</v>
      </c>
      <c r="J39" s="482"/>
      <c r="K39" s="112"/>
      <c r="L39" s="484">
        <f t="shared" si="9"/>
        <v>0</v>
      </c>
      <c r="M39" s="112"/>
      <c r="N39" s="484">
        <f t="shared" si="10"/>
        <v>0</v>
      </c>
      <c r="O39" s="484">
        <f t="shared" si="11"/>
        <v>0</v>
      </c>
      <c r="P39" s="465"/>
    </row>
    <row r="40" spans="2:16">
      <c r="B40" t="str">
        <f t="shared" si="0"/>
        <v/>
      </c>
      <c r="C40" s="479">
        <f>IF(D11="","-",+C39+1)</f>
        <v>2048</v>
      </c>
      <c r="D40" s="481">
        <f>IF(F39+SUM(E$17:E39)=D$10,F39,D$10-SUM(E$17:E39))</f>
        <v>842822.69988284539</v>
      </c>
      <c r="E40" s="55">
        <f t="shared" si="4"/>
        <v>117603.16666666667</v>
      </c>
      <c r="F40" s="481">
        <f t="shared" si="5"/>
        <v>725219.53321617877</v>
      </c>
      <c r="G40" s="485">
        <f t="shared" si="6"/>
        <v>207576.46871177229</v>
      </c>
      <c r="H40" s="478">
        <f t="shared" si="7"/>
        <v>207576.46871177229</v>
      </c>
      <c r="I40" s="482">
        <f t="shared" si="8"/>
        <v>0</v>
      </c>
      <c r="J40" s="482"/>
      <c r="K40" s="112"/>
      <c r="L40" s="484">
        <f t="shared" si="9"/>
        <v>0</v>
      </c>
      <c r="M40" s="112"/>
      <c r="N40" s="484">
        <f t="shared" si="10"/>
        <v>0</v>
      </c>
      <c r="O40" s="484">
        <f t="shared" si="11"/>
        <v>0</v>
      </c>
      <c r="P40" s="465"/>
    </row>
    <row r="41" spans="2:16">
      <c r="B41" t="str">
        <f t="shared" si="0"/>
        <v/>
      </c>
      <c r="C41" s="479">
        <f>IF(D11="","-",+C40+1)</f>
        <v>2049</v>
      </c>
      <c r="D41" s="481">
        <f>IF(F40+SUM(E$17:E40)=D$10,F40,D$10-SUM(E$17:E40))</f>
        <v>725219.53321617877</v>
      </c>
      <c r="E41" s="55">
        <f t="shared" si="4"/>
        <v>117603.16666666667</v>
      </c>
      <c r="F41" s="481">
        <f t="shared" si="5"/>
        <v>607616.36654951214</v>
      </c>
      <c r="G41" s="485">
        <f t="shared" si="6"/>
        <v>194080.47349862207</v>
      </c>
      <c r="H41" s="478">
        <f t="shared" si="7"/>
        <v>194080.47349862207</v>
      </c>
      <c r="I41" s="482">
        <f t="shared" si="8"/>
        <v>0</v>
      </c>
      <c r="J41" s="482"/>
      <c r="K41" s="112"/>
      <c r="L41" s="484">
        <f t="shared" si="9"/>
        <v>0</v>
      </c>
      <c r="M41" s="112"/>
      <c r="N41" s="484">
        <f t="shared" si="10"/>
        <v>0</v>
      </c>
      <c r="O41" s="484">
        <f t="shared" si="11"/>
        <v>0</v>
      </c>
      <c r="P41" s="465"/>
    </row>
    <row r="42" spans="2:16">
      <c r="B42" t="str">
        <f t="shared" si="0"/>
        <v/>
      </c>
      <c r="C42" s="479">
        <f>IF(D11="","-",+C41+1)</f>
        <v>2050</v>
      </c>
      <c r="D42" s="481">
        <f>IF(F41+SUM(E$17:E41)=D$10,F41,D$10-SUM(E$17:E41))</f>
        <v>607616.36654951214</v>
      </c>
      <c r="E42" s="55">
        <f t="shared" si="4"/>
        <v>117603.16666666667</v>
      </c>
      <c r="F42" s="481">
        <f t="shared" si="5"/>
        <v>490013.19988284545</v>
      </c>
      <c r="G42" s="485">
        <f t="shared" si="6"/>
        <v>180584.47828547185</v>
      </c>
      <c r="H42" s="478">
        <f t="shared" si="7"/>
        <v>180584.47828547185</v>
      </c>
      <c r="I42" s="482">
        <f t="shared" si="8"/>
        <v>0</v>
      </c>
      <c r="J42" s="482"/>
      <c r="K42" s="112"/>
      <c r="L42" s="484">
        <f t="shared" si="9"/>
        <v>0</v>
      </c>
      <c r="M42" s="112"/>
      <c r="N42" s="484">
        <f t="shared" si="10"/>
        <v>0</v>
      </c>
      <c r="O42" s="484">
        <f t="shared" si="11"/>
        <v>0</v>
      </c>
      <c r="P42" s="465"/>
    </row>
    <row r="43" spans="2:16">
      <c r="B43" t="str">
        <f t="shared" si="0"/>
        <v/>
      </c>
      <c r="C43" s="479">
        <f>IF(D11="","-",+C42+1)</f>
        <v>2051</v>
      </c>
      <c r="D43" s="481">
        <f>IF(F42+SUM(E$17:E42)=D$10,F42,D$10-SUM(E$17:E42))</f>
        <v>490013.19988284545</v>
      </c>
      <c r="E43" s="55">
        <f t="shared" si="4"/>
        <v>117603.16666666667</v>
      </c>
      <c r="F43" s="481">
        <f t="shared" si="5"/>
        <v>372410.03321617877</v>
      </c>
      <c r="G43" s="485">
        <f t="shared" si="6"/>
        <v>167088.48307232166</v>
      </c>
      <c r="H43" s="478">
        <f t="shared" si="7"/>
        <v>167088.48307232166</v>
      </c>
      <c r="I43" s="482">
        <f t="shared" si="8"/>
        <v>0</v>
      </c>
      <c r="J43" s="482"/>
      <c r="K43" s="112"/>
      <c r="L43" s="484">
        <f t="shared" si="9"/>
        <v>0</v>
      </c>
      <c r="M43" s="112"/>
      <c r="N43" s="484">
        <f t="shared" si="10"/>
        <v>0</v>
      </c>
      <c r="O43" s="484">
        <f t="shared" si="11"/>
        <v>0</v>
      </c>
      <c r="P43" s="465"/>
    </row>
    <row r="44" spans="2:16">
      <c r="B44" t="str">
        <f t="shared" si="0"/>
        <v/>
      </c>
      <c r="C44" s="479">
        <f>IF(D11="","-",+C43+1)</f>
        <v>2052</v>
      </c>
      <c r="D44" s="481">
        <f>IF(F43+SUM(E$17:E43)=D$10,F43,D$10-SUM(E$17:E43))</f>
        <v>372410.03321617877</v>
      </c>
      <c r="E44" s="55">
        <f t="shared" si="4"/>
        <v>117603.16666666667</v>
      </c>
      <c r="F44" s="481">
        <f t="shared" si="5"/>
        <v>254806.86654951208</v>
      </c>
      <c r="G44" s="485">
        <f t="shared" si="6"/>
        <v>153592.48785917144</v>
      </c>
      <c r="H44" s="478">
        <f t="shared" si="7"/>
        <v>153592.48785917144</v>
      </c>
      <c r="I44" s="482">
        <f t="shared" si="8"/>
        <v>0</v>
      </c>
      <c r="J44" s="482"/>
      <c r="K44" s="112"/>
      <c r="L44" s="484">
        <f t="shared" si="9"/>
        <v>0</v>
      </c>
      <c r="M44" s="112"/>
      <c r="N44" s="484">
        <f t="shared" si="10"/>
        <v>0</v>
      </c>
      <c r="O44" s="484">
        <f t="shared" si="11"/>
        <v>0</v>
      </c>
      <c r="P44" s="465"/>
    </row>
    <row r="45" spans="2:16">
      <c r="B45" t="str">
        <f t="shared" si="0"/>
        <v/>
      </c>
      <c r="C45" s="479">
        <f>IF(D11="","-",+C44+1)</f>
        <v>2053</v>
      </c>
      <c r="D45" s="481">
        <f>IF(F44+SUM(E$17:E44)=D$10,F44,D$10-SUM(E$17:E44))</f>
        <v>254806.86654951208</v>
      </c>
      <c r="E45" s="55">
        <f t="shared" si="4"/>
        <v>117603.16666666667</v>
      </c>
      <c r="F45" s="481">
        <f t="shared" si="5"/>
        <v>137203.69988284539</v>
      </c>
      <c r="G45" s="485">
        <f t="shared" si="6"/>
        <v>140096.49264602124</v>
      </c>
      <c r="H45" s="478">
        <f t="shared" si="7"/>
        <v>140096.49264602124</v>
      </c>
      <c r="I45" s="482">
        <f t="shared" si="8"/>
        <v>0</v>
      </c>
      <c r="J45" s="482"/>
      <c r="K45" s="112"/>
      <c r="L45" s="484">
        <f t="shared" si="9"/>
        <v>0</v>
      </c>
      <c r="M45" s="112"/>
      <c r="N45" s="484">
        <f t="shared" si="10"/>
        <v>0</v>
      </c>
      <c r="O45" s="484">
        <f t="shared" si="11"/>
        <v>0</v>
      </c>
      <c r="P45" s="465"/>
    </row>
    <row r="46" spans="2:16">
      <c r="B46" t="str">
        <f t="shared" si="0"/>
        <v/>
      </c>
      <c r="C46" s="479">
        <f>IF(D11="","-",+C45+1)</f>
        <v>2054</v>
      </c>
      <c r="D46" s="481">
        <f>IF(F45+SUM(E$17:E45)=D$10,F45,D$10-SUM(E$17:E45))</f>
        <v>137203.69988284539</v>
      </c>
      <c r="E46" s="55">
        <f t="shared" si="4"/>
        <v>117603.16666666667</v>
      </c>
      <c r="F46" s="481">
        <f t="shared" si="5"/>
        <v>19600.533216178723</v>
      </c>
      <c r="G46" s="485">
        <f t="shared" si="6"/>
        <v>126600.49743287104</v>
      </c>
      <c r="H46" s="478">
        <f t="shared" si="7"/>
        <v>126600.49743287104</v>
      </c>
      <c r="I46" s="482">
        <f t="shared" si="8"/>
        <v>0</v>
      </c>
      <c r="J46" s="482"/>
      <c r="K46" s="112"/>
      <c r="L46" s="484">
        <f t="shared" si="9"/>
        <v>0</v>
      </c>
      <c r="M46" s="112"/>
      <c r="N46" s="484">
        <f t="shared" si="10"/>
        <v>0</v>
      </c>
      <c r="O46" s="484">
        <f t="shared" si="11"/>
        <v>0</v>
      </c>
      <c r="P46" s="465"/>
    </row>
    <row r="47" spans="2:16">
      <c r="B47" t="str">
        <f t="shared" si="0"/>
        <v/>
      </c>
      <c r="C47" s="479">
        <f>IF(D11="","-",+C46+1)</f>
        <v>2055</v>
      </c>
      <c r="D47" s="481">
        <f>IF(F46+SUM(E$17:E46)=D$10,F46,D$10-SUM(E$17:E46))</f>
        <v>19600.533216178723</v>
      </c>
      <c r="E47" s="55">
        <f t="shared" si="4"/>
        <v>19600.533216178723</v>
      </c>
      <c r="F47" s="481">
        <f t="shared" si="5"/>
        <v>0</v>
      </c>
      <c r="G47" s="485">
        <f t="shared" si="6"/>
        <v>20725.199795993351</v>
      </c>
      <c r="H47" s="478">
        <f t="shared" si="7"/>
        <v>20725.199795993351</v>
      </c>
      <c r="I47" s="482">
        <f t="shared" si="8"/>
        <v>0</v>
      </c>
      <c r="J47" s="482"/>
      <c r="K47" s="112"/>
      <c r="L47" s="484">
        <f t="shared" si="9"/>
        <v>0</v>
      </c>
      <c r="M47" s="112"/>
      <c r="N47" s="484">
        <f t="shared" si="10"/>
        <v>0</v>
      </c>
      <c r="O47" s="484">
        <f t="shared" si="11"/>
        <v>0</v>
      </c>
      <c r="P47" s="465"/>
    </row>
    <row r="48" spans="2:16">
      <c r="B48" t="str">
        <f t="shared" si="0"/>
        <v/>
      </c>
      <c r="C48" s="479">
        <f>IF(D11="","-",+C47+1)</f>
        <v>2056</v>
      </c>
      <c r="D48" s="481">
        <f>IF(F47+SUM(E$17:E47)=D$10,F47,D$10-SUM(E$17:E47))</f>
        <v>0</v>
      </c>
      <c r="E48" s="55">
        <f t="shared" si="4"/>
        <v>0</v>
      </c>
      <c r="F48" s="481">
        <f t="shared" si="5"/>
        <v>0</v>
      </c>
      <c r="G48" s="485">
        <f t="shared" si="6"/>
        <v>0</v>
      </c>
      <c r="H48" s="478">
        <f t="shared" si="7"/>
        <v>0</v>
      </c>
      <c r="I48" s="482">
        <f t="shared" si="8"/>
        <v>0</v>
      </c>
      <c r="J48" s="482"/>
      <c r="K48" s="112"/>
      <c r="L48" s="484">
        <f t="shared" si="9"/>
        <v>0</v>
      </c>
      <c r="M48" s="112"/>
      <c r="N48" s="484">
        <f t="shared" si="10"/>
        <v>0</v>
      </c>
      <c r="O48" s="484">
        <f t="shared" si="11"/>
        <v>0</v>
      </c>
      <c r="P48" s="465"/>
    </row>
    <row r="49" spans="2:16">
      <c r="B49" t="str">
        <f t="shared" si="0"/>
        <v/>
      </c>
      <c r="C49" s="479">
        <f>IF(D11="","-",+C48+1)</f>
        <v>2057</v>
      </c>
      <c r="D49" s="481">
        <f>IF(F48+SUM(E$17:E48)=D$10,F48,D$10-SUM(E$17:E48))</f>
        <v>0</v>
      </c>
      <c r="E49" s="55">
        <f t="shared" si="4"/>
        <v>0</v>
      </c>
      <c r="F49" s="481">
        <f t="shared" si="5"/>
        <v>0</v>
      </c>
      <c r="G49" s="485">
        <f t="shared" si="6"/>
        <v>0</v>
      </c>
      <c r="H49" s="478">
        <f t="shared" si="7"/>
        <v>0</v>
      </c>
      <c r="I49" s="482">
        <f t="shared" si="8"/>
        <v>0</v>
      </c>
      <c r="J49" s="482"/>
      <c r="K49" s="112"/>
      <c r="L49" s="484">
        <f t="shared" si="9"/>
        <v>0</v>
      </c>
      <c r="M49" s="112"/>
      <c r="N49" s="484">
        <f t="shared" si="10"/>
        <v>0</v>
      </c>
      <c r="O49" s="484">
        <f t="shared" si="11"/>
        <v>0</v>
      </c>
      <c r="P49" s="465"/>
    </row>
    <row r="50" spans="2:16">
      <c r="B50" t="str">
        <f t="shared" si="0"/>
        <v/>
      </c>
      <c r="C50" s="479">
        <f>IF(D11="","-",+C49+1)</f>
        <v>2058</v>
      </c>
      <c r="D50" s="481">
        <f>IF(F49+SUM(E$17:E49)=D$10,F49,D$10-SUM(E$17:E49))</f>
        <v>0</v>
      </c>
      <c r="E50" s="55">
        <f t="shared" si="4"/>
        <v>0</v>
      </c>
      <c r="F50" s="481">
        <f t="shared" si="5"/>
        <v>0</v>
      </c>
      <c r="G50" s="485">
        <f t="shared" si="6"/>
        <v>0</v>
      </c>
      <c r="H50" s="478">
        <f t="shared" si="7"/>
        <v>0</v>
      </c>
      <c r="I50" s="482">
        <f t="shared" si="8"/>
        <v>0</v>
      </c>
      <c r="J50" s="482"/>
      <c r="K50" s="112"/>
      <c r="L50" s="484">
        <f t="shared" si="9"/>
        <v>0</v>
      </c>
      <c r="M50" s="112"/>
      <c r="N50" s="484">
        <f t="shared" si="10"/>
        <v>0</v>
      </c>
      <c r="O50" s="484">
        <f t="shared" si="11"/>
        <v>0</v>
      </c>
      <c r="P50" s="465"/>
    </row>
    <row r="51" spans="2:16">
      <c r="B51" t="str">
        <f t="shared" si="0"/>
        <v/>
      </c>
      <c r="C51" s="479">
        <f>IF(D11="","-",+C50+1)</f>
        <v>2059</v>
      </c>
      <c r="D51" s="481">
        <f>IF(F50+SUM(E$17:E50)=D$10,F50,D$10-SUM(E$17:E50))</f>
        <v>0</v>
      </c>
      <c r="E51" s="55">
        <f t="shared" si="4"/>
        <v>0</v>
      </c>
      <c r="F51" s="481">
        <f t="shared" si="5"/>
        <v>0</v>
      </c>
      <c r="G51" s="485">
        <f t="shared" si="6"/>
        <v>0</v>
      </c>
      <c r="H51" s="478">
        <f t="shared" si="7"/>
        <v>0</v>
      </c>
      <c r="I51" s="482">
        <f t="shared" si="8"/>
        <v>0</v>
      </c>
      <c r="J51" s="482"/>
      <c r="K51" s="112"/>
      <c r="L51" s="484">
        <f t="shared" si="9"/>
        <v>0</v>
      </c>
      <c r="M51" s="112"/>
      <c r="N51" s="484">
        <f t="shared" si="10"/>
        <v>0</v>
      </c>
      <c r="O51" s="484">
        <f t="shared" si="11"/>
        <v>0</v>
      </c>
      <c r="P51" s="465"/>
    </row>
    <row r="52" spans="2:16">
      <c r="B52" t="str">
        <f t="shared" si="0"/>
        <v/>
      </c>
      <c r="C52" s="479">
        <f>IF(D11="","-",+C51+1)</f>
        <v>2060</v>
      </c>
      <c r="D52" s="481">
        <f>IF(F51+SUM(E$17:E51)=D$10,F51,D$10-SUM(E$17:E51))</f>
        <v>0</v>
      </c>
      <c r="E52" s="55">
        <f t="shared" si="4"/>
        <v>0</v>
      </c>
      <c r="F52" s="481">
        <f t="shared" si="5"/>
        <v>0</v>
      </c>
      <c r="G52" s="485">
        <f t="shared" si="6"/>
        <v>0</v>
      </c>
      <c r="H52" s="478">
        <f t="shared" si="7"/>
        <v>0</v>
      </c>
      <c r="I52" s="482">
        <f t="shared" si="8"/>
        <v>0</v>
      </c>
      <c r="J52" s="482"/>
      <c r="K52" s="112"/>
      <c r="L52" s="484">
        <f t="shared" si="9"/>
        <v>0</v>
      </c>
      <c r="M52" s="112"/>
      <c r="N52" s="484">
        <f t="shared" si="10"/>
        <v>0</v>
      </c>
      <c r="O52" s="484">
        <f t="shared" si="11"/>
        <v>0</v>
      </c>
      <c r="P52" s="465"/>
    </row>
    <row r="53" spans="2:16">
      <c r="B53" t="str">
        <f t="shared" si="0"/>
        <v/>
      </c>
      <c r="C53" s="479">
        <f>IF(D11="","-",+C52+1)</f>
        <v>2061</v>
      </c>
      <c r="D53" s="481">
        <f>IF(F52+SUM(E$17:E52)=D$10,F52,D$10-SUM(E$17:E52))</f>
        <v>0</v>
      </c>
      <c r="E53" s="55">
        <f t="shared" si="4"/>
        <v>0</v>
      </c>
      <c r="F53" s="481">
        <f t="shared" si="5"/>
        <v>0</v>
      </c>
      <c r="G53" s="485">
        <f t="shared" si="6"/>
        <v>0</v>
      </c>
      <c r="H53" s="478">
        <f t="shared" si="7"/>
        <v>0</v>
      </c>
      <c r="I53" s="482">
        <f t="shared" si="8"/>
        <v>0</v>
      </c>
      <c r="J53" s="482"/>
      <c r="K53" s="112"/>
      <c r="L53" s="484">
        <f t="shared" si="9"/>
        <v>0</v>
      </c>
      <c r="M53" s="112"/>
      <c r="N53" s="484">
        <f t="shared" si="10"/>
        <v>0</v>
      </c>
      <c r="O53" s="484">
        <f t="shared" si="11"/>
        <v>0</v>
      </c>
      <c r="P53" s="465"/>
    </row>
    <row r="54" spans="2:16">
      <c r="B54" t="str">
        <f t="shared" si="0"/>
        <v/>
      </c>
      <c r="C54" s="479">
        <f>IF(D11="","-",+C53+1)</f>
        <v>2062</v>
      </c>
      <c r="D54" s="481">
        <f>IF(F53+SUM(E$17:E53)=D$10,F53,D$10-SUM(E$17:E53))</f>
        <v>0</v>
      </c>
      <c r="E54" s="55">
        <f t="shared" si="4"/>
        <v>0</v>
      </c>
      <c r="F54" s="481">
        <f t="shared" si="5"/>
        <v>0</v>
      </c>
      <c r="G54" s="485">
        <f t="shared" si="6"/>
        <v>0</v>
      </c>
      <c r="H54" s="478">
        <f t="shared" si="7"/>
        <v>0</v>
      </c>
      <c r="I54" s="482">
        <f t="shared" si="8"/>
        <v>0</v>
      </c>
      <c r="J54" s="482"/>
      <c r="K54" s="112"/>
      <c r="L54" s="484">
        <f t="shared" si="9"/>
        <v>0</v>
      </c>
      <c r="M54" s="112"/>
      <c r="N54" s="484">
        <f t="shared" si="10"/>
        <v>0</v>
      </c>
      <c r="O54" s="484">
        <f t="shared" si="11"/>
        <v>0</v>
      </c>
      <c r="P54" s="465"/>
    </row>
    <row r="55" spans="2:16">
      <c r="B55" t="str">
        <f t="shared" si="0"/>
        <v/>
      </c>
      <c r="C55" s="479">
        <f>IF(D11="","-",+C54+1)</f>
        <v>2063</v>
      </c>
      <c r="D55" s="481">
        <f>IF(F54+SUM(E$17:E54)=D$10,F54,D$10-SUM(E$17:E54))</f>
        <v>0</v>
      </c>
      <c r="E55" s="55">
        <f t="shared" si="4"/>
        <v>0</v>
      </c>
      <c r="F55" s="481">
        <f t="shared" si="5"/>
        <v>0</v>
      </c>
      <c r="G55" s="485">
        <f t="shared" si="6"/>
        <v>0</v>
      </c>
      <c r="H55" s="478">
        <f t="shared" si="7"/>
        <v>0</v>
      </c>
      <c r="I55" s="482">
        <f t="shared" si="8"/>
        <v>0</v>
      </c>
      <c r="J55" s="482"/>
      <c r="K55" s="112"/>
      <c r="L55" s="484">
        <f t="shared" si="9"/>
        <v>0</v>
      </c>
      <c r="M55" s="112"/>
      <c r="N55" s="484">
        <f t="shared" si="10"/>
        <v>0</v>
      </c>
      <c r="O55" s="484">
        <f t="shared" si="11"/>
        <v>0</v>
      </c>
      <c r="P55" s="465"/>
    </row>
    <row r="56" spans="2:16">
      <c r="B56" t="str">
        <f t="shared" si="0"/>
        <v/>
      </c>
      <c r="C56" s="479">
        <f>IF(D11="","-",+C55+1)</f>
        <v>2064</v>
      </c>
      <c r="D56" s="481">
        <f>IF(F55+SUM(E$17:E55)=D$10,F55,D$10-SUM(E$17:E55))</f>
        <v>0</v>
      </c>
      <c r="E56" s="55">
        <f t="shared" si="4"/>
        <v>0</v>
      </c>
      <c r="F56" s="481">
        <f t="shared" si="5"/>
        <v>0</v>
      </c>
      <c r="G56" s="485">
        <f t="shared" si="6"/>
        <v>0</v>
      </c>
      <c r="H56" s="478">
        <f t="shared" si="7"/>
        <v>0</v>
      </c>
      <c r="I56" s="482">
        <f t="shared" si="8"/>
        <v>0</v>
      </c>
      <c r="J56" s="482"/>
      <c r="K56" s="112"/>
      <c r="L56" s="484">
        <f t="shared" si="9"/>
        <v>0</v>
      </c>
      <c r="M56" s="112"/>
      <c r="N56" s="484">
        <f t="shared" si="10"/>
        <v>0</v>
      </c>
      <c r="O56" s="484">
        <f t="shared" si="11"/>
        <v>0</v>
      </c>
      <c r="P56" s="465"/>
    </row>
    <row r="57" spans="2:16">
      <c r="B57" t="str">
        <f t="shared" si="0"/>
        <v/>
      </c>
      <c r="C57" s="479">
        <f>IF(D11="","-",+C56+1)</f>
        <v>2065</v>
      </c>
      <c r="D57" s="481">
        <f>IF(F56+SUM(E$17:E56)=D$10,F56,D$10-SUM(E$17:E56))</f>
        <v>0</v>
      </c>
      <c r="E57" s="55">
        <f t="shared" si="4"/>
        <v>0</v>
      </c>
      <c r="F57" s="481">
        <f t="shared" si="5"/>
        <v>0</v>
      </c>
      <c r="G57" s="485">
        <f t="shared" si="6"/>
        <v>0</v>
      </c>
      <c r="H57" s="478">
        <f t="shared" si="7"/>
        <v>0</v>
      </c>
      <c r="I57" s="482">
        <f t="shared" si="8"/>
        <v>0</v>
      </c>
      <c r="J57" s="482"/>
      <c r="K57" s="112"/>
      <c r="L57" s="484">
        <f t="shared" si="9"/>
        <v>0</v>
      </c>
      <c r="M57" s="112"/>
      <c r="N57" s="484">
        <f t="shared" si="10"/>
        <v>0</v>
      </c>
      <c r="O57" s="484">
        <f t="shared" si="11"/>
        <v>0</v>
      </c>
      <c r="P57" s="465"/>
    </row>
    <row r="58" spans="2:16">
      <c r="B58" t="str">
        <f t="shared" si="0"/>
        <v/>
      </c>
      <c r="C58" s="479">
        <f>IF(D11="","-",+C57+1)</f>
        <v>2066</v>
      </c>
      <c r="D58" s="481">
        <f>IF(F57+SUM(E$17:E57)=D$10,F57,D$10-SUM(E$17:E57))</f>
        <v>0</v>
      </c>
      <c r="E58" s="55">
        <f t="shared" si="4"/>
        <v>0</v>
      </c>
      <c r="F58" s="481">
        <f t="shared" si="5"/>
        <v>0</v>
      </c>
      <c r="G58" s="485">
        <f t="shared" si="6"/>
        <v>0</v>
      </c>
      <c r="H58" s="478">
        <f t="shared" si="7"/>
        <v>0</v>
      </c>
      <c r="I58" s="482">
        <f t="shared" si="8"/>
        <v>0</v>
      </c>
      <c r="J58" s="482"/>
      <c r="K58" s="112"/>
      <c r="L58" s="484">
        <f t="shared" si="9"/>
        <v>0</v>
      </c>
      <c r="M58" s="112"/>
      <c r="N58" s="484">
        <f t="shared" si="10"/>
        <v>0</v>
      </c>
      <c r="O58" s="484">
        <f t="shared" si="11"/>
        <v>0</v>
      </c>
      <c r="P58" s="465"/>
    </row>
    <row r="59" spans="2:16">
      <c r="B59" t="str">
        <f t="shared" si="0"/>
        <v/>
      </c>
      <c r="C59" s="479">
        <f>IF(D11="","-",+C58+1)</f>
        <v>2067</v>
      </c>
      <c r="D59" s="481">
        <f>IF(F58+SUM(E$17:E58)=D$10,F58,D$10-SUM(E$17:E58))</f>
        <v>0</v>
      </c>
      <c r="E59" s="55">
        <f t="shared" si="4"/>
        <v>0</v>
      </c>
      <c r="F59" s="481">
        <f t="shared" si="5"/>
        <v>0</v>
      </c>
      <c r="G59" s="485">
        <f t="shared" si="6"/>
        <v>0</v>
      </c>
      <c r="H59" s="478">
        <f t="shared" si="7"/>
        <v>0</v>
      </c>
      <c r="I59" s="482">
        <f t="shared" si="8"/>
        <v>0</v>
      </c>
      <c r="J59" s="482"/>
      <c r="K59" s="112"/>
      <c r="L59" s="484">
        <f t="shared" si="9"/>
        <v>0</v>
      </c>
      <c r="M59" s="112"/>
      <c r="N59" s="484">
        <f t="shared" si="10"/>
        <v>0</v>
      </c>
      <c r="O59" s="484">
        <f t="shared" si="11"/>
        <v>0</v>
      </c>
      <c r="P59" s="465"/>
    </row>
    <row r="60" spans="2:16">
      <c r="B60" t="str">
        <f t="shared" si="0"/>
        <v/>
      </c>
      <c r="C60" s="479">
        <f>IF(D11="","-",+C59+1)</f>
        <v>2068</v>
      </c>
      <c r="D60" s="481">
        <f>IF(F59+SUM(E$17:E59)=D$10,F59,D$10-SUM(E$17:E59))</f>
        <v>0</v>
      </c>
      <c r="E60" s="55">
        <f t="shared" si="4"/>
        <v>0</v>
      </c>
      <c r="F60" s="481">
        <f t="shared" si="5"/>
        <v>0</v>
      </c>
      <c r="G60" s="485">
        <f t="shared" si="6"/>
        <v>0</v>
      </c>
      <c r="H60" s="478">
        <f t="shared" si="7"/>
        <v>0</v>
      </c>
      <c r="I60" s="482">
        <f t="shared" si="8"/>
        <v>0</v>
      </c>
      <c r="J60" s="482"/>
      <c r="K60" s="112"/>
      <c r="L60" s="484">
        <f t="shared" si="9"/>
        <v>0</v>
      </c>
      <c r="M60" s="112"/>
      <c r="N60" s="484">
        <f t="shared" si="10"/>
        <v>0</v>
      </c>
      <c r="O60" s="484">
        <f t="shared" si="11"/>
        <v>0</v>
      </c>
      <c r="P60" s="465"/>
    </row>
    <row r="61" spans="2:16">
      <c r="B61" t="str">
        <f t="shared" si="0"/>
        <v/>
      </c>
      <c r="C61" s="479">
        <f>IF(D11="","-",+C60+1)</f>
        <v>2069</v>
      </c>
      <c r="D61" s="481">
        <f>IF(F60+SUM(E$17:E60)=D$10,F60,D$10-SUM(E$17:E60))</f>
        <v>0</v>
      </c>
      <c r="E61" s="55">
        <f t="shared" si="4"/>
        <v>0</v>
      </c>
      <c r="F61" s="481">
        <f t="shared" si="5"/>
        <v>0</v>
      </c>
      <c r="G61" s="486">
        <f t="shared" si="6"/>
        <v>0</v>
      </c>
      <c r="H61" s="478">
        <f t="shared" si="7"/>
        <v>0</v>
      </c>
      <c r="I61" s="482">
        <f t="shared" si="8"/>
        <v>0</v>
      </c>
      <c r="J61" s="482"/>
      <c r="K61" s="112"/>
      <c r="L61" s="484">
        <f t="shared" si="9"/>
        <v>0</v>
      </c>
      <c r="M61" s="112"/>
      <c r="N61" s="484">
        <f t="shared" si="10"/>
        <v>0</v>
      </c>
      <c r="O61" s="484">
        <f t="shared" si="11"/>
        <v>0</v>
      </c>
      <c r="P61" s="465"/>
    </row>
    <row r="62" spans="2:16">
      <c r="B62" t="str">
        <f t="shared" si="0"/>
        <v/>
      </c>
      <c r="C62" s="479">
        <f>IF(D11="","-",+C61+1)</f>
        <v>2070</v>
      </c>
      <c r="D62" s="481">
        <f>IF(F61+SUM(E$17:E61)=D$10,F61,D$10-SUM(E$17:E61))</f>
        <v>0</v>
      </c>
      <c r="E62" s="55">
        <f t="shared" si="4"/>
        <v>0</v>
      </c>
      <c r="F62" s="481">
        <f t="shared" si="5"/>
        <v>0</v>
      </c>
      <c r="G62" s="486">
        <f t="shared" si="6"/>
        <v>0</v>
      </c>
      <c r="H62" s="478">
        <f t="shared" si="7"/>
        <v>0</v>
      </c>
      <c r="I62" s="482">
        <f t="shared" si="8"/>
        <v>0</v>
      </c>
      <c r="J62" s="482"/>
      <c r="K62" s="112"/>
      <c r="L62" s="484">
        <f t="shared" si="9"/>
        <v>0</v>
      </c>
      <c r="M62" s="112"/>
      <c r="N62" s="484">
        <f t="shared" si="10"/>
        <v>0</v>
      </c>
      <c r="O62" s="484">
        <f t="shared" si="11"/>
        <v>0</v>
      </c>
      <c r="P62" s="465"/>
    </row>
    <row r="63" spans="2:16">
      <c r="B63" t="str">
        <f t="shared" si="0"/>
        <v/>
      </c>
      <c r="C63" s="479">
        <f>IF(D11="","-",+C62+1)</f>
        <v>2071</v>
      </c>
      <c r="D63" s="481">
        <f>IF(F62+SUM(E$17:E62)=D$10,F62,D$10-SUM(E$17:E62))</f>
        <v>0</v>
      </c>
      <c r="E63" s="55">
        <f t="shared" si="4"/>
        <v>0</v>
      </c>
      <c r="F63" s="481">
        <f t="shared" si="5"/>
        <v>0</v>
      </c>
      <c r="G63" s="486">
        <f t="shared" si="6"/>
        <v>0</v>
      </c>
      <c r="H63" s="478">
        <f t="shared" si="7"/>
        <v>0</v>
      </c>
      <c r="I63" s="482">
        <f t="shared" si="8"/>
        <v>0</v>
      </c>
      <c r="J63" s="482"/>
      <c r="K63" s="112"/>
      <c r="L63" s="484">
        <f t="shared" si="9"/>
        <v>0</v>
      </c>
      <c r="M63" s="112"/>
      <c r="N63" s="484">
        <f t="shared" si="10"/>
        <v>0</v>
      </c>
      <c r="O63" s="484">
        <f t="shared" si="11"/>
        <v>0</v>
      </c>
      <c r="P63" s="465"/>
    </row>
    <row r="64" spans="2:16">
      <c r="B64" t="str">
        <f t="shared" si="0"/>
        <v/>
      </c>
      <c r="C64" s="479">
        <f>IF(D11="","-",+C63+1)</f>
        <v>2072</v>
      </c>
      <c r="D64" s="481">
        <f>IF(F63+SUM(E$17:E63)=D$10,F63,D$10-SUM(E$17:E63))</f>
        <v>0</v>
      </c>
      <c r="E64" s="55">
        <f t="shared" si="4"/>
        <v>0</v>
      </c>
      <c r="F64" s="481">
        <f t="shared" si="5"/>
        <v>0</v>
      </c>
      <c r="G64" s="486">
        <f t="shared" si="6"/>
        <v>0</v>
      </c>
      <c r="H64" s="478">
        <f t="shared" si="7"/>
        <v>0</v>
      </c>
      <c r="I64" s="482">
        <f t="shared" si="8"/>
        <v>0</v>
      </c>
      <c r="J64" s="482"/>
      <c r="K64" s="112"/>
      <c r="L64" s="484">
        <f t="shared" si="9"/>
        <v>0</v>
      </c>
      <c r="M64" s="112"/>
      <c r="N64" s="484">
        <f t="shared" si="10"/>
        <v>0</v>
      </c>
      <c r="O64" s="484">
        <f t="shared" si="11"/>
        <v>0</v>
      </c>
      <c r="P64" s="465"/>
    </row>
    <row r="65" spans="2:16">
      <c r="B65" t="str">
        <f t="shared" si="0"/>
        <v/>
      </c>
      <c r="C65" s="479">
        <f>IF(D11="","-",+C64+1)</f>
        <v>2073</v>
      </c>
      <c r="D65" s="481">
        <f>IF(F64+SUM(E$17:E64)=D$10,F64,D$10-SUM(E$17:E64))</f>
        <v>0</v>
      </c>
      <c r="E65" s="55">
        <f t="shared" si="4"/>
        <v>0</v>
      </c>
      <c r="F65" s="481">
        <f t="shared" si="5"/>
        <v>0</v>
      </c>
      <c r="G65" s="486">
        <f t="shared" si="6"/>
        <v>0</v>
      </c>
      <c r="H65" s="478">
        <f t="shared" si="7"/>
        <v>0</v>
      </c>
      <c r="I65" s="482">
        <f t="shared" si="8"/>
        <v>0</v>
      </c>
      <c r="J65" s="482"/>
      <c r="K65" s="112"/>
      <c r="L65" s="484">
        <f t="shared" si="9"/>
        <v>0</v>
      </c>
      <c r="M65" s="112"/>
      <c r="N65" s="484">
        <f t="shared" si="10"/>
        <v>0</v>
      </c>
      <c r="O65" s="484">
        <f t="shared" si="11"/>
        <v>0</v>
      </c>
      <c r="P65" s="465"/>
    </row>
    <row r="66" spans="2:16">
      <c r="B66" t="str">
        <f t="shared" si="0"/>
        <v/>
      </c>
      <c r="C66" s="479">
        <f>IF(D11="","-",+C65+1)</f>
        <v>2074</v>
      </c>
      <c r="D66" s="481">
        <f>IF(F65+SUM(E$17:E65)=D$10,F65,D$10-SUM(E$17:E65))</f>
        <v>0</v>
      </c>
      <c r="E66" s="55">
        <f t="shared" si="4"/>
        <v>0</v>
      </c>
      <c r="F66" s="481">
        <f t="shared" si="5"/>
        <v>0</v>
      </c>
      <c r="G66" s="486">
        <f t="shared" si="6"/>
        <v>0</v>
      </c>
      <c r="H66" s="478">
        <f t="shared" si="7"/>
        <v>0</v>
      </c>
      <c r="I66" s="482">
        <f t="shared" si="8"/>
        <v>0</v>
      </c>
      <c r="J66" s="482"/>
      <c r="K66" s="112"/>
      <c r="L66" s="484">
        <f t="shared" si="9"/>
        <v>0</v>
      </c>
      <c r="M66" s="112"/>
      <c r="N66" s="484">
        <f t="shared" si="10"/>
        <v>0</v>
      </c>
      <c r="O66" s="484">
        <f t="shared" si="11"/>
        <v>0</v>
      </c>
      <c r="P66" s="465"/>
    </row>
    <row r="67" spans="2:16">
      <c r="B67" t="str">
        <f t="shared" si="0"/>
        <v/>
      </c>
      <c r="C67" s="479">
        <f>IF(D11="","-",+C66+1)</f>
        <v>2075</v>
      </c>
      <c r="D67" s="481">
        <f>IF(F66+SUM(E$17:E66)=D$10,F66,D$10-SUM(E$17:E66))</f>
        <v>0</v>
      </c>
      <c r="E67" s="55">
        <f t="shared" si="4"/>
        <v>0</v>
      </c>
      <c r="F67" s="481">
        <f t="shared" si="5"/>
        <v>0</v>
      </c>
      <c r="G67" s="486">
        <f t="shared" si="6"/>
        <v>0</v>
      </c>
      <c r="H67" s="478">
        <f t="shared" si="7"/>
        <v>0</v>
      </c>
      <c r="I67" s="482">
        <f t="shared" si="8"/>
        <v>0</v>
      </c>
      <c r="J67" s="482"/>
      <c r="K67" s="112"/>
      <c r="L67" s="484">
        <f t="shared" si="9"/>
        <v>0</v>
      </c>
      <c r="M67" s="112"/>
      <c r="N67" s="484">
        <f t="shared" si="10"/>
        <v>0</v>
      </c>
      <c r="O67" s="484">
        <f t="shared" si="11"/>
        <v>0</v>
      </c>
      <c r="P67" s="465"/>
    </row>
    <row r="68" spans="2:16">
      <c r="B68" t="str">
        <f t="shared" si="0"/>
        <v/>
      </c>
      <c r="C68" s="479">
        <f>IF(D11="","-",+C67+1)</f>
        <v>2076</v>
      </c>
      <c r="D68" s="481">
        <f>IF(F67+SUM(E$17:E67)=D$10,F67,D$10-SUM(E$17:E67))</f>
        <v>0</v>
      </c>
      <c r="E68" s="55">
        <f t="shared" si="4"/>
        <v>0</v>
      </c>
      <c r="F68" s="481">
        <f t="shared" si="5"/>
        <v>0</v>
      </c>
      <c r="G68" s="486">
        <f t="shared" si="6"/>
        <v>0</v>
      </c>
      <c r="H68" s="478">
        <f t="shared" si="7"/>
        <v>0</v>
      </c>
      <c r="I68" s="482">
        <f t="shared" si="8"/>
        <v>0</v>
      </c>
      <c r="J68" s="482"/>
      <c r="K68" s="112"/>
      <c r="L68" s="484">
        <f t="shared" si="9"/>
        <v>0</v>
      </c>
      <c r="M68" s="112"/>
      <c r="N68" s="484">
        <f t="shared" si="10"/>
        <v>0</v>
      </c>
      <c r="O68" s="484">
        <f t="shared" si="11"/>
        <v>0</v>
      </c>
      <c r="P68" s="465"/>
    </row>
    <row r="69" spans="2:16">
      <c r="B69" t="str">
        <f t="shared" si="0"/>
        <v/>
      </c>
      <c r="C69" s="479">
        <f>IF(D11="","-",+C68+1)</f>
        <v>2077</v>
      </c>
      <c r="D69" s="481">
        <f>IF(F68+SUM(E$17:E68)=D$10,F68,D$10-SUM(E$17:E68))</f>
        <v>0</v>
      </c>
      <c r="E69" s="55">
        <f t="shared" si="4"/>
        <v>0</v>
      </c>
      <c r="F69" s="481">
        <f t="shared" si="5"/>
        <v>0</v>
      </c>
      <c r="G69" s="486">
        <f t="shared" si="6"/>
        <v>0</v>
      </c>
      <c r="H69" s="478">
        <f t="shared" si="7"/>
        <v>0</v>
      </c>
      <c r="I69" s="482">
        <f t="shared" si="8"/>
        <v>0</v>
      </c>
      <c r="J69" s="482"/>
      <c r="K69" s="112"/>
      <c r="L69" s="484">
        <f t="shared" si="9"/>
        <v>0</v>
      </c>
      <c r="M69" s="112"/>
      <c r="N69" s="484">
        <f t="shared" si="10"/>
        <v>0</v>
      </c>
      <c r="O69" s="484">
        <f t="shared" si="11"/>
        <v>0</v>
      </c>
      <c r="P69" s="465"/>
    </row>
    <row r="70" spans="2:16">
      <c r="B70" t="str">
        <f t="shared" si="0"/>
        <v/>
      </c>
      <c r="C70" s="479">
        <f>IF(D11="","-",+C69+1)</f>
        <v>2078</v>
      </c>
      <c r="D70" s="481">
        <f>IF(F69+SUM(E$17:E69)=D$10,F69,D$10-SUM(E$17:E69))</f>
        <v>0</v>
      </c>
      <c r="E70" s="55">
        <f t="shared" si="4"/>
        <v>0</v>
      </c>
      <c r="F70" s="481">
        <f t="shared" si="5"/>
        <v>0</v>
      </c>
      <c r="G70" s="486">
        <f t="shared" si="6"/>
        <v>0</v>
      </c>
      <c r="H70" s="478">
        <f t="shared" si="7"/>
        <v>0</v>
      </c>
      <c r="I70" s="482">
        <f t="shared" si="8"/>
        <v>0</v>
      </c>
      <c r="J70" s="482"/>
      <c r="K70" s="112"/>
      <c r="L70" s="484">
        <f t="shared" si="9"/>
        <v>0</v>
      </c>
      <c r="M70" s="112"/>
      <c r="N70" s="484">
        <f t="shared" si="10"/>
        <v>0</v>
      </c>
      <c r="O70" s="484">
        <f t="shared" si="11"/>
        <v>0</v>
      </c>
      <c r="P70" s="465"/>
    </row>
    <row r="71" spans="2:16">
      <c r="B71" t="str">
        <f t="shared" si="0"/>
        <v/>
      </c>
      <c r="C71" s="479">
        <f>IF(D11="","-",+C70+1)</f>
        <v>2079</v>
      </c>
      <c r="D71" s="481">
        <f>IF(F70+SUM(E$17:E70)=D$10,F70,D$10-SUM(E$17:E70))</f>
        <v>0</v>
      </c>
      <c r="E71" s="55">
        <f t="shared" si="4"/>
        <v>0</v>
      </c>
      <c r="F71" s="481">
        <f t="shared" si="5"/>
        <v>0</v>
      </c>
      <c r="G71" s="486">
        <f t="shared" si="6"/>
        <v>0</v>
      </c>
      <c r="H71" s="478">
        <f t="shared" si="7"/>
        <v>0</v>
      </c>
      <c r="I71" s="482">
        <f t="shared" si="8"/>
        <v>0</v>
      </c>
      <c r="J71" s="482"/>
      <c r="K71" s="112"/>
      <c r="L71" s="484">
        <f t="shared" si="9"/>
        <v>0</v>
      </c>
      <c r="M71" s="112"/>
      <c r="N71" s="484">
        <f t="shared" si="10"/>
        <v>0</v>
      </c>
      <c r="O71" s="484">
        <f t="shared" si="11"/>
        <v>0</v>
      </c>
      <c r="P71" s="465"/>
    </row>
    <row r="72" spans="2:16">
      <c r="C72" s="479">
        <f>IF(D12="","-",+C71+1)</f>
        <v>2080</v>
      </c>
      <c r="D72" s="481">
        <f>IF(F71+SUM(E$17:E71)=D$10,F71,D$10-SUM(E$17:E71))</f>
        <v>0</v>
      </c>
      <c r="E72" s="55">
        <f>IF(+I$14&lt;F71,I$14,D72)</f>
        <v>0</v>
      </c>
      <c r="F72" s="481">
        <f>+D72-E72</f>
        <v>0</v>
      </c>
      <c r="G72" s="486">
        <f>(D72+F72)/2*I$12+E72</f>
        <v>0</v>
      </c>
      <c r="H72" s="478">
        <f>+(D72+F72)/2*I$13+E72</f>
        <v>0</v>
      </c>
      <c r="I72" s="482">
        <f>H72-G72</f>
        <v>0</v>
      </c>
      <c r="J72" s="482"/>
      <c r="K72" s="112"/>
      <c r="L72" s="484">
        <f>IF(K72&lt;&gt;0,+G72-K72,0)</f>
        <v>0</v>
      </c>
      <c r="M72" s="112"/>
      <c r="N72" s="484">
        <f>IF(M72&lt;&gt;0,+H72-M72,0)</f>
        <v>0</v>
      </c>
      <c r="O72" s="484">
        <f>+N72-L72</f>
        <v>0</v>
      </c>
      <c r="P72" s="465"/>
    </row>
    <row r="73" spans="2:16" ht="13.5" thickBot="1">
      <c r="B73" t="str">
        <f>IF(D73=F71,"","IU")</f>
        <v/>
      </c>
      <c r="C73" s="487">
        <f>IF(D13="","-",+C72+1)</f>
        <v>2081</v>
      </c>
      <c r="D73" s="60">
        <f>IF(F72+SUM(E$17:E72)=D$10,F72,D$10-SUM(E$17:E72))</f>
        <v>0</v>
      </c>
      <c r="E73" s="60">
        <f>IF(+I$14&lt;F72,I$14,D73)</f>
        <v>0</v>
      </c>
      <c r="F73" s="488">
        <f>+D73-E73</f>
        <v>0</v>
      </c>
      <c r="G73" s="489">
        <f>(D73+F73)/2*I$12+E73</f>
        <v>0</v>
      </c>
      <c r="H73" s="471">
        <f>+(D73+F73)/2*I$13+E73</f>
        <v>0</v>
      </c>
      <c r="I73" s="490">
        <f>H73-G73</f>
        <v>0</v>
      </c>
      <c r="J73" s="482"/>
      <c r="K73" s="113"/>
      <c r="L73" s="491">
        <f>IF(K73&lt;&gt;0,+G73-K73,0)</f>
        <v>0</v>
      </c>
      <c r="M73" s="113"/>
      <c r="N73" s="491">
        <f>IF(M73&lt;&gt;0,+H73-M73,0)</f>
        <v>0</v>
      </c>
      <c r="O73" s="491">
        <f>+N73-L73</f>
        <v>0</v>
      </c>
      <c r="P73" s="465"/>
    </row>
    <row r="74" spans="2:16">
      <c r="C74" s="480" t="s">
        <v>75</v>
      </c>
      <c r="D74" s="468"/>
      <c r="E74" s="468">
        <f>SUM(E17:E73)</f>
        <v>3528094.9999999995</v>
      </c>
      <c r="F74" s="468"/>
      <c r="G74" s="468">
        <f>SUM(G17:G73)</f>
        <v>9465803.2153009977</v>
      </c>
      <c r="H74" s="468">
        <f>SUM(H17:H73)</f>
        <v>9465803.2153009977</v>
      </c>
      <c r="I74" s="468">
        <f>SUM(I17:I73)</f>
        <v>0</v>
      </c>
      <c r="J74" s="468"/>
      <c r="K74" s="468"/>
      <c r="L74" s="468"/>
      <c r="M74" s="468"/>
      <c r="N74" s="468"/>
      <c r="O74" s="465"/>
      <c r="P74" s="465"/>
    </row>
    <row r="75" spans="2:16">
      <c r="D75" s="466"/>
      <c r="E75" s="465"/>
      <c r="F75" s="465"/>
      <c r="G75" s="465"/>
      <c r="H75" s="467"/>
      <c r="I75" s="467"/>
      <c r="J75" s="468"/>
      <c r="K75" s="467"/>
      <c r="L75" s="467"/>
      <c r="M75" s="467"/>
      <c r="N75" s="467"/>
      <c r="O75" s="465"/>
      <c r="P75" s="465"/>
    </row>
    <row r="76" spans="2:16">
      <c r="C76" s="29" t="s">
        <v>95</v>
      </c>
      <c r="D76" s="466"/>
      <c r="E76" s="465"/>
      <c r="F76" s="465"/>
      <c r="G76" s="465"/>
      <c r="H76" s="467"/>
      <c r="I76" s="467"/>
      <c r="J76" s="468"/>
      <c r="K76" s="467"/>
      <c r="L76" s="467"/>
      <c r="M76" s="467"/>
      <c r="N76" s="467"/>
      <c r="O76" s="465"/>
      <c r="P76" s="465"/>
    </row>
    <row r="77" spans="2:16">
      <c r="C77" s="25" t="s">
        <v>76</v>
      </c>
      <c r="D77" s="466"/>
      <c r="E77" s="465"/>
      <c r="F77" s="465"/>
      <c r="G77" s="465"/>
      <c r="H77" s="467"/>
      <c r="I77" s="467"/>
      <c r="J77" s="468"/>
      <c r="K77" s="467"/>
      <c r="L77" s="467"/>
      <c r="M77" s="467"/>
      <c r="N77" s="467"/>
      <c r="O77" s="465"/>
      <c r="P77" s="465"/>
    </row>
    <row r="78" spans="2:16">
      <c r="C78" s="25" t="s">
        <v>77</v>
      </c>
      <c r="D78" s="480"/>
      <c r="E78" s="480"/>
      <c r="F78" s="480"/>
      <c r="G78" s="468"/>
      <c r="H78" s="468"/>
      <c r="I78" s="492"/>
      <c r="J78" s="492"/>
      <c r="K78" s="492"/>
      <c r="L78" s="492"/>
      <c r="M78" s="492"/>
      <c r="N78" s="492"/>
      <c r="O78" s="465"/>
      <c r="P78" s="465"/>
    </row>
    <row r="79" spans="2:16">
      <c r="C79" s="25"/>
      <c r="D79" s="480"/>
      <c r="E79" s="480"/>
      <c r="F79" s="480"/>
      <c r="G79" s="468"/>
      <c r="H79" s="468"/>
      <c r="I79" s="492"/>
      <c r="J79" s="492"/>
      <c r="K79" s="492"/>
      <c r="L79" s="492"/>
      <c r="M79" s="492"/>
      <c r="N79" s="492"/>
      <c r="O79" s="465"/>
      <c r="P79" s="465"/>
    </row>
    <row r="80" spans="2:16">
      <c r="B80" s="465"/>
      <c r="C80" s="465"/>
      <c r="D80" s="466"/>
      <c r="E80" s="465"/>
      <c r="F80" s="480"/>
      <c r="G80" s="465"/>
      <c r="H80" s="467"/>
      <c r="I80" s="465"/>
      <c r="J80" s="465"/>
      <c r="K80" s="465"/>
      <c r="L80" s="465"/>
      <c r="M80" s="465"/>
      <c r="N80" s="465"/>
      <c r="O80" s="465"/>
      <c r="P80" s="465"/>
    </row>
    <row r="81" spans="1:16" ht="18">
      <c r="B81" s="465"/>
      <c r="C81" s="493"/>
      <c r="D81" s="466"/>
      <c r="E81" s="465"/>
      <c r="F81" s="480"/>
      <c r="G81" s="465"/>
      <c r="H81" s="467"/>
      <c r="I81" s="465"/>
      <c r="J81" s="465"/>
      <c r="K81" s="465"/>
      <c r="L81" s="465"/>
      <c r="M81" s="465"/>
      <c r="N81" s="465"/>
      <c r="P81" s="94" t="s">
        <v>128</v>
      </c>
    </row>
    <row r="82" spans="1:16">
      <c r="B82" s="465"/>
      <c r="C82" s="465"/>
      <c r="D82" s="466"/>
      <c r="E82" s="465"/>
      <c r="F82" s="480"/>
      <c r="G82" s="465"/>
      <c r="H82" s="467"/>
      <c r="I82" s="465"/>
      <c r="J82" s="465"/>
      <c r="K82" s="465"/>
      <c r="L82" s="465"/>
      <c r="M82" s="465"/>
      <c r="N82" s="465"/>
      <c r="O82" s="465"/>
      <c r="P82" s="465"/>
    </row>
    <row r="83" spans="1:16">
      <c r="B83" s="465"/>
      <c r="C83" s="465"/>
      <c r="D83" s="466"/>
      <c r="E83" s="465"/>
      <c r="F83" s="480"/>
      <c r="G83" s="465"/>
      <c r="H83" s="467"/>
      <c r="I83" s="465"/>
      <c r="J83" s="465"/>
      <c r="K83" s="465"/>
      <c r="L83" s="465"/>
      <c r="M83" s="465"/>
      <c r="N83" s="465"/>
      <c r="O83" s="465"/>
      <c r="P83" s="465"/>
    </row>
    <row r="84" spans="1:16" ht="20.25">
      <c r="A84" s="93" t="s">
        <v>190</v>
      </c>
      <c r="B84" s="465"/>
      <c r="C84" s="465"/>
      <c r="D84" s="466"/>
      <c r="E84" s="465"/>
      <c r="F84" s="280"/>
      <c r="G84" s="280"/>
      <c r="H84" s="465"/>
      <c r="I84" s="467"/>
      <c r="L84" s="12"/>
      <c r="M84" s="12"/>
      <c r="P84" s="12" t="str">
        <f ca="1">P1</f>
        <v>OKT Project 24 of 26</v>
      </c>
    </row>
    <row r="85" spans="1:16" ht="18">
      <c r="B85" s="465"/>
      <c r="C85" s="465"/>
      <c r="D85" s="466"/>
      <c r="E85" s="465"/>
      <c r="F85" s="465"/>
      <c r="G85" s="465"/>
      <c r="H85" s="465"/>
      <c r="I85" s="467"/>
      <c r="J85" s="465"/>
      <c r="K85" s="465"/>
      <c r="L85" s="465"/>
      <c r="M85" s="465"/>
      <c r="P85" s="99" t="s">
        <v>132</v>
      </c>
    </row>
    <row r="86" spans="1:16" ht="18.75" thickBot="1">
      <c r="B86" s="4" t="s">
        <v>42</v>
      </c>
      <c r="C86" s="66" t="s">
        <v>81</v>
      </c>
      <c r="D86" s="466"/>
      <c r="E86" s="465"/>
      <c r="F86" s="465"/>
      <c r="G86" s="465"/>
      <c r="H86" s="465"/>
      <c r="I86" s="467"/>
      <c r="J86" s="467"/>
      <c r="K86" s="468"/>
      <c r="L86" s="467"/>
      <c r="M86" s="467"/>
      <c r="N86" s="467"/>
      <c r="O86" s="468"/>
      <c r="P86" s="465"/>
    </row>
    <row r="87" spans="1:16" ht="15.75" thickBot="1">
      <c r="C87" s="8"/>
      <c r="D87" s="466"/>
      <c r="E87" s="465"/>
      <c r="F87" s="465"/>
      <c r="G87" s="465"/>
      <c r="H87" s="465"/>
      <c r="I87" s="467"/>
      <c r="J87" s="467"/>
      <c r="K87" s="468"/>
      <c r="L87" s="100">
        <f>+J93</f>
        <v>2025</v>
      </c>
      <c r="M87" s="494" t="s">
        <v>9</v>
      </c>
      <c r="N87" s="495" t="s">
        <v>134</v>
      </c>
      <c r="O87" s="496" t="s">
        <v>11</v>
      </c>
      <c r="P87" s="465"/>
    </row>
    <row r="88" spans="1:16" ht="15">
      <c r="C88" s="90" t="s">
        <v>44</v>
      </c>
      <c r="D88" s="466"/>
      <c r="E88" s="465"/>
      <c r="F88" s="465"/>
      <c r="G88" s="465"/>
      <c r="H88" s="15"/>
      <c r="I88" s="465" t="s">
        <v>45</v>
      </c>
      <c r="J88" s="465"/>
      <c r="K88" s="104"/>
      <c r="L88" s="497" t="s">
        <v>253</v>
      </c>
      <c r="M88" s="67">
        <f>IF(J93&lt;D11,0,VLOOKUP(J93,C17:O73,9))</f>
        <v>294289.53341276094</v>
      </c>
      <c r="N88" s="67">
        <f>IF(J93&lt;D11,0,VLOOKUP(J93,C17:O73,11))</f>
        <v>294289.53341276094</v>
      </c>
      <c r="O88" s="498">
        <f>+N88-M88</f>
        <v>0</v>
      </c>
      <c r="P88" s="465"/>
    </row>
    <row r="89" spans="1:16" ht="15.75">
      <c r="C89" s="6"/>
      <c r="D89" s="466"/>
      <c r="E89" s="465"/>
      <c r="F89" s="465"/>
      <c r="G89" s="465"/>
      <c r="H89" s="465"/>
      <c r="I89" s="20"/>
      <c r="J89" s="20"/>
      <c r="K89" s="106"/>
      <c r="L89" s="499" t="s">
        <v>254</v>
      </c>
      <c r="M89" s="69">
        <f>IF(J93&lt;D11,0,VLOOKUP(J93,C100:P155,6))</f>
        <v>541425.88152905367</v>
      </c>
      <c r="N89" s="69">
        <f>IF(J93&lt;D11,0,VLOOKUP(J93,C100:P155,7))</f>
        <v>541425.88152905367</v>
      </c>
      <c r="O89" s="500">
        <f>+N89-M89</f>
        <v>0</v>
      </c>
      <c r="P89" s="465"/>
    </row>
    <row r="90" spans="1:16" ht="13.5" thickBot="1">
      <c r="C90" s="25" t="s">
        <v>82</v>
      </c>
      <c r="D90" s="96" t="str">
        <f>+D7</f>
        <v>SW Power Station 138 kV</v>
      </c>
      <c r="E90" s="465"/>
      <c r="F90" s="465"/>
      <c r="G90" s="465"/>
      <c r="H90" s="465"/>
      <c r="I90" s="467"/>
      <c r="J90" s="467"/>
      <c r="K90" s="108"/>
      <c r="L90" s="501" t="s">
        <v>135</v>
      </c>
      <c r="M90" s="72">
        <f>+M89-M88</f>
        <v>247136.34811629273</v>
      </c>
      <c r="N90" s="72">
        <f>+N89-N88</f>
        <v>247136.34811629273</v>
      </c>
      <c r="O90" s="73">
        <f>+O89-O88</f>
        <v>0</v>
      </c>
      <c r="P90" s="465"/>
    </row>
    <row r="91" spans="1:16" ht="13.5" thickBot="1">
      <c r="C91" s="29"/>
      <c r="D91" s="65" t="str">
        <f>IF(D8="","",D8)</f>
        <v/>
      </c>
      <c r="E91" s="480"/>
      <c r="F91" s="480"/>
      <c r="G91" s="480"/>
      <c r="H91" s="472"/>
      <c r="I91" s="467"/>
      <c r="J91" s="467"/>
      <c r="K91" s="468"/>
      <c r="L91" s="467"/>
      <c r="M91" s="467"/>
      <c r="N91" s="467"/>
      <c r="O91" s="468"/>
      <c r="P91" s="465"/>
    </row>
    <row r="92" spans="1:16" ht="13.5" thickBot="1">
      <c r="C92" s="502" t="s">
        <v>83</v>
      </c>
      <c r="D92" s="88" t="str">
        <f>+D9</f>
        <v>TA2019024</v>
      </c>
      <c r="E92" s="75" t="str">
        <f>E9</f>
        <v xml:space="preserve">  SPP Project ID = </v>
      </c>
      <c r="F92" s="527">
        <f>F9</f>
        <v>81501</v>
      </c>
      <c r="G92" s="75"/>
      <c r="H92" s="75"/>
      <c r="I92" s="75"/>
      <c r="J92" s="75"/>
    </row>
    <row r="93" spans="1:16">
      <c r="C93" s="474" t="s">
        <v>49</v>
      </c>
      <c r="D93" s="503">
        <v>3391426.5300000003</v>
      </c>
      <c r="E93" s="465" t="s">
        <v>84</v>
      </c>
      <c r="H93" s="466"/>
      <c r="I93" s="466"/>
      <c r="J93" s="36">
        <v>2025</v>
      </c>
      <c r="K93" s="33"/>
      <c r="L93" s="468" t="s">
        <v>85</v>
      </c>
      <c r="P93" s="465"/>
    </row>
    <row r="94" spans="1:16">
      <c r="C94" s="474" t="s">
        <v>52</v>
      </c>
      <c r="D94" s="504">
        <v>2024</v>
      </c>
      <c r="E94" s="474" t="s">
        <v>53</v>
      </c>
      <c r="F94" s="466"/>
      <c r="G94" s="466"/>
      <c r="J94" s="475">
        <v>0</v>
      </c>
      <c r="K94" s="476"/>
      <c r="L94" t="str">
        <f>"          INPUT TRUE-UP ARR (WITH &amp; WITHOUT INCENTIVES) FROM EACH PRIOR YEAR"</f>
        <v xml:space="preserve">          INPUT TRUE-UP ARR (WITH &amp; WITHOUT INCENTIVES) FROM EACH PRIOR YEAR</v>
      </c>
      <c r="P94" s="465"/>
    </row>
    <row r="95" spans="1:16">
      <c r="C95" s="474" t="s">
        <v>54</v>
      </c>
      <c r="D95" s="504">
        <v>12</v>
      </c>
      <c r="E95" s="474" t="s">
        <v>55</v>
      </c>
      <c r="F95" s="466"/>
      <c r="G95" s="466"/>
      <c r="J95" s="477">
        <v>0.11475877389767174</v>
      </c>
      <c r="K95" s="280"/>
      <c r="L95" t="s">
        <v>86</v>
      </c>
      <c r="P95" s="465"/>
    </row>
    <row r="96" spans="1:16">
      <c r="C96" s="474" t="s">
        <v>57</v>
      </c>
      <c r="D96" s="475">
        <v>21</v>
      </c>
      <c r="E96" s="474" t="s">
        <v>58</v>
      </c>
      <c r="F96" s="466"/>
      <c r="G96" s="466"/>
      <c r="J96" s="477">
        <v>0.11475877389767174</v>
      </c>
      <c r="K96" s="280"/>
      <c r="L96" s="468" t="s">
        <v>59</v>
      </c>
      <c r="M96" s="280"/>
      <c r="N96" s="280"/>
      <c r="O96" s="280"/>
      <c r="P96" s="465"/>
    </row>
    <row r="97" spans="1:16" ht="13.5" thickBot="1">
      <c r="C97" s="474" t="s">
        <v>60</v>
      </c>
      <c r="D97" s="505" t="s">
        <v>61</v>
      </c>
      <c r="E97" s="506" t="s">
        <v>62</v>
      </c>
      <c r="F97" s="507"/>
      <c r="G97" s="507"/>
      <c r="H97" s="77"/>
      <c r="I97" s="77"/>
      <c r="J97" s="471">
        <f>IF(D93=0,0,D93/D96)</f>
        <v>161496.50142857144</v>
      </c>
      <c r="K97" s="468"/>
      <c r="L97" s="468"/>
      <c r="M97" s="468"/>
      <c r="N97" s="468"/>
      <c r="O97" s="468"/>
      <c r="P97" s="465"/>
    </row>
    <row r="98" spans="1:16" ht="38.25">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3.5" thickBot="1">
      <c r="B100" t="str">
        <f t="shared" ref="B100:B155" si="12">IF(D100=F99,"","IU")</f>
        <v>IU</v>
      </c>
      <c r="C100" s="479">
        <f>IF(D94= "","-",D94)</f>
        <v>2024</v>
      </c>
      <c r="D100" s="512">
        <v>0</v>
      </c>
      <c r="E100" s="512">
        <v>0</v>
      </c>
      <c r="F100" s="512">
        <v>3371801.3</v>
      </c>
      <c r="G100" s="512">
        <v>1685900.65</v>
      </c>
      <c r="H100" s="512">
        <v>193471.8915072878</v>
      </c>
      <c r="I100" s="512">
        <v>193471.8915072878</v>
      </c>
      <c r="J100" s="484">
        <f t="shared" ref="J100:J131" si="13">+I100-H100</f>
        <v>0</v>
      </c>
      <c r="K100" s="484"/>
      <c r="L100" s="376">
        <f>+H100</f>
        <v>193471.8915072878</v>
      </c>
      <c r="M100" s="484">
        <f t="shared" ref="M100:M131" si="14">IF(L100&lt;&gt;0,+H100-L100,0)</f>
        <v>0</v>
      </c>
      <c r="N100" s="376">
        <f>+I100</f>
        <v>193471.8915072878</v>
      </c>
      <c r="O100" s="483">
        <f t="shared" ref="O100:O131" si="15">IF(N100&lt;&gt;0,+I100-N100,0)</f>
        <v>0</v>
      </c>
      <c r="P100" s="483">
        <f t="shared" ref="P100:P131" si="16">+O100-M100</f>
        <v>0</v>
      </c>
    </row>
    <row r="101" spans="1:16">
      <c r="B101" t="str">
        <f t="shared" si="12"/>
        <v>IU</v>
      </c>
      <c r="C101" s="479">
        <f>IF(D94="","-",+C100+1)</f>
        <v>2025</v>
      </c>
      <c r="D101" s="480">
        <f>IF(F100+SUM(E$100:E100)=D$93,F100,D$93-SUM(E$100:E100))</f>
        <v>3391426.5300000003</v>
      </c>
      <c r="E101" s="377">
        <f t="shared" ref="E101:E155" si="17">IF(+J$97&lt;F100,J$97,D101)</f>
        <v>161496.50142857144</v>
      </c>
      <c r="F101" s="481">
        <f t="shared" ref="F101:F155" si="18">+D101-E101</f>
        <v>3229930.0285714287</v>
      </c>
      <c r="G101" s="481">
        <f t="shared" ref="G101:G155" si="19">+(F101+D101)/2</f>
        <v>3310678.2792857145</v>
      </c>
      <c r="H101" s="515">
        <f t="shared" ref="H101:H102" si="20">(D101+F101)/2*J$95+E101</f>
        <v>541425.88152905367</v>
      </c>
      <c r="I101" s="516">
        <f t="shared" ref="I101:I155" si="21">+J$96*G101+E101</f>
        <v>541425.88152905367</v>
      </c>
      <c r="J101" s="484">
        <f t="shared" si="13"/>
        <v>0</v>
      </c>
      <c r="K101" s="484"/>
      <c r="L101" s="376">
        <f>+H101</f>
        <v>541425.88152905367</v>
      </c>
      <c r="M101" s="484">
        <f t="shared" ref="M101" si="22">IF(L101&lt;&gt;0,+H101-L101,0)</f>
        <v>0</v>
      </c>
      <c r="N101" s="376">
        <f>+I101</f>
        <v>541425.88152905367</v>
      </c>
      <c r="O101" s="483">
        <f t="shared" ref="O101" si="23">IF(N101&lt;&gt;0,+I101-N101,0)</f>
        <v>0</v>
      </c>
      <c r="P101" s="483">
        <f t="shared" ref="P101" si="24">+O101-M101</f>
        <v>0</v>
      </c>
    </row>
    <row r="102" spans="1:16">
      <c r="B102" t="str">
        <f t="shared" si="12"/>
        <v/>
      </c>
      <c r="C102" s="479">
        <f>IF(D94="","-",+C101+1)</f>
        <v>2026</v>
      </c>
      <c r="D102" s="480">
        <f>IF(F101+SUM(E$100:E101)=D$93,F101,D$93-SUM(E$100:E101))</f>
        <v>3229930.0285714287</v>
      </c>
      <c r="E102" s="377">
        <f t="shared" si="17"/>
        <v>161496.50142857144</v>
      </c>
      <c r="F102" s="481">
        <f t="shared" si="18"/>
        <v>3068433.5271428572</v>
      </c>
      <c r="G102" s="481">
        <f t="shared" si="19"/>
        <v>3149181.777857143</v>
      </c>
      <c r="H102" s="515">
        <f t="shared" si="20"/>
        <v>522892.74103634723</v>
      </c>
      <c r="I102" s="516">
        <f t="shared" si="21"/>
        <v>522892.74103634723</v>
      </c>
      <c r="J102" s="484">
        <f t="shared" si="13"/>
        <v>0</v>
      </c>
      <c r="K102" s="484"/>
      <c r="L102" s="112"/>
      <c r="M102" s="484">
        <f t="shared" si="14"/>
        <v>0</v>
      </c>
      <c r="N102" s="112"/>
      <c r="O102" s="484">
        <f t="shared" si="15"/>
        <v>0</v>
      </c>
      <c r="P102" s="484">
        <f t="shared" si="16"/>
        <v>0</v>
      </c>
    </row>
    <row r="103" spans="1:16">
      <c r="B103" t="str">
        <f t="shared" si="12"/>
        <v/>
      </c>
      <c r="C103" s="479">
        <f>IF(D94="","-",+C102+1)</f>
        <v>2027</v>
      </c>
      <c r="D103" s="480">
        <f>IF(F102+SUM(E$100:E102)=D$93,F102,D$93-SUM(E$100:E102))</f>
        <v>3068433.5271428572</v>
      </c>
      <c r="E103" s="55">
        <f t="shared" si="17"/>
        <v>161496.50142857144</v>
      </c>
      <c r="F103" s="481">
        <f t="shared" si="18"/>
        <v>2906937.0257142857</v>
      </c>
      <c r="G103" s="481">
        <f t="shared" si="19"/>
        <v>2987685.2764285714</v>
      </c>
      <c r="H103" s="517">
        <f t="shared" ref="H103:H107" si="25">+J$95*G103+E103</f>
        <v>504359.60054364079</v>
      </c>
      <c r="I103" s="518">
        <f t="shared" si="21"/>
        <v>504359.60054364079</v>
      </c>
      <c r="J103" s="484">
        <f t="shared" si="13"/>
        <v>0</v>
      </c>
      <c r="K103" s="484"/>
      <c r="L103" s="112"/>
      <c r="M103" s="484">
        <f t="shared" si="14"/>
        <v>0</v>
      </c>
      <c r="N103" s="112"/>
      <c r="O103" s="484">
        <f t="shared" si="15"/>
        <v>0</v>
      </c>
      <c r="P103" s="484">
        <f t="shared" si="16"/>
        <v>0</v>
      </c>
    </row>
    <row r="104" spans="1:16">
      <c r="B104" t="str">
        <f t="shared" si="12"/>
        <v/>
      </c>
      <c r="C104" s="479">
        <f>IF(D94="","-",+C103+1)</f>
        <v>2028</v>
      </c>
      <c r="D104" s="480">
        <f>IF(F103+SUM(E$100:E103)=D$93,F103,D$93-SUM(E$100:E103))</f>
        <v>2906937.0257142857</v>
      </c>
      <c r="E104" s="55">
        <f t="shared" si="17"/>
        <v>161496.50142857144</v>
      </c>
      <c r="F104" s="481">
        <f t="shared" si="18"/>
        <v>2745440.5242857141</v>
      </c>
      <c r="G104" s="481">
        <f t="shared" si="19"/>
        <v>2826188.7749999999</v>
      </c>
      <c r="H104" s="517">
        <f t="shared" si="25"/>
        <v>485826.46005093434</v>
      </c>
      <c r="I104" s="518">
        <f t="shared" si="21"/>
        <v>485826.46005093434</v>
      </c>
      <c r="J104" s="484">
        <f t="shared" si="13"/>
        <v>0</v>
      </c>
      <c r="K104" s="484"/>
      <c r="L104" s="112"/>
      <c r="M104" s="484">
        <f t="shared" si="14"/>
        <v>0</v>
      </c>
      <c r="N104" s="112"/>
      <c r="O104" s="484">
        <f t="shared" si="15"/>
        <v>0</v>
      </c>
      <c r="P104" s="484">
        <f t="shared" si="16"/>
        <v>0</v>
      </c>
    </row>
    <row r="105" spans="1:16">
      <c r="B105" t="str">
        <f t="shared" si="12"/>
        <v/>
      </c>
      <c r="C105" s="479">
        <f>IF(D94="","-",+C104+1)</f>
        <v>2029</v>
      </c>
      <c r="D105" s="480">
        <f>IF(F104+SUM(E$100:E104)=D$93,F104,D$93-SUM(E$100:E104))</f>
        <v>2745440.5242857141</v>
      </c>
      <c r="E105" s="55">
        <f t="shared" si="17"/>
        <v>161496.50142857144</v>
      </c>
      <c r="F105" s="481">
        <f t="shared" si="18"/>
        <v>2583944.0228571426</v>
      </c>
      <c r="G105" s="481">
        <f t="shared" si="19"/>
        <v>2664692.2735714284</v>
      </c>
      <c r="H105" s="517">
        <f t="shared" si="25"/>
        <v>467293.31955822778</v>
      </c>
      <c r="I105" s="518">
        <f t="shared" si="21"/>
        <v>467293.31955822778</v>
      </c>
      <c r="J105" s="484">
        <f t="shared" si="13"/>
        <v>0</v>
      </c>
      <c r="K105" s="484"/>
      <c r="L105" s="112"/>
      <c r="M105" s="484">
        <f t="shared" si="14"/>
        <v>0</v>
      </c>
      <c r="N105" s="112"/>
      <c r="O105" s="484">
        <f t="shared" si="15"/>
        <v>0</v>
      </c>
      <c r="P105" s="484">
        <f t="shared" si="16"/>
        <v>0</v>
      </c>
    </row>
    <row r="106" spans="1:16">
      <c r="B106" t="str">
        <f t="shared" si="12"/>
        <v/>
      </c>
      <c r="C106" s="479">
        <f>IF(D94="","-",+C105+1)</f>
        <v>2030</v>
      </c>
      <c r="D106" s="480">
        <f>IF(F105+SUM(E$100:E105)=D$93,F105,D$93-SUM(E$100:E105))</f>
        <v>2583944.0228571426</v>
      </c>
      <c r="E106" s="55">
        <f t="shared" si="17"/>
        <v>161496.50142857144</v>
      </c>
      <c r="F106" s="481">
        <f t="shared" si="18"/>
        <v>2422447.5214285711</v>
      </c>
      <c r="G106" s="481">
        <f t="shared" si="19"/>
        <v>2503195.7721428568</v>
      </c>
      <c r="H106" s="517">
        <f t="shared" si="25"/>
        <v>448760.17906552134</v>
      </c>
      <c r="I106" s="518">
        <f t="shared" si="21"/>
        <v>448760.17906552134</v>
      </c>
      <c r="J106" s="484">
        <f t="shared" si="13"/>
        <v>0</v>
      </c>
      <c r="K106" s="484"/>
      <c r="L106" s="112"/>
      <c r="M106" s="484">
        <f t="shared" si="14"/>
        <v>0</v>
      </c>
      <c r="N106" s="112"/>
      <c r="O106" s="484">
        <f t="shared" si="15"/>
        <v>0</v>
      </c>
      <c r="P106" s="484">
        <f t="shared" si="16"/>
        <v>0</v>
      </c>
    </row>
    <row r="107" spans="1:16">
      <c r="B107" t="str">
        <f t="shared" si="12"/>
        <v/>
      </c>
      <c r="C107" s="479">
        <f>IF(D94="","-",+C106+1)</f>
        <v>2031</v>
      </c>
      <c r="D107" s="480">
        <f>IF(F106+SUM(E$100:E106)=D$93,F106,D$93-SUM(E$100:E106))</f>
        <v>2422447.5214285711</v>
      </c>
      <c r="E107" s="55">
        <f t="shared" si="17"/>
        <v>161496.50142857144</v>
      </c>
      <c r="F107" s="481">
        <f t="shared" si="18"/>
        <v>2260951.0199999996</v>
      </c>
      <c r="G107" s="481">
        <f t="shared" si="19"/>
        <v>2341699.2707142853</v>
      </c>
      <c r="H107" s="517">
        <f t="shared" si="25"/>
        <v>430227.0385728149</v>
      </c>
      <c r="I107" s="518">
        <f t="shared" si="21"/>
        <v>430227.0385728149</v>
      </c>
      <c r="J107" s="484">
        <f t="shared" si="13"/>
        <v>0</v>
      </c>
      <c r="K107" s="484"/>
      <c r="L107" s="112"/>
      <c r="M107" s="484">
        <f t="shared" si="14"/>
        <v>0</v>
      </c>
      <c r="N107" s="112"/>
      <c r="O107" s="484">
        <f t="shared" si="15"/>
        <v>0</v>
      </c>
      <c r="P107" s="484">
        <f t="shared" si="16"/>
        <v>0</v>
      </c>
    </row>
    <row r="108" spans="1:16">
      <c r="B108" t="str">
        <f t="shared" si="12"/>
        <v/>
      </c>
      <c r="C108" s="479">
        <f>IF(D94="","-",+C107+1)</f>
        <v>2032</v>
      </c>
      <c r="D108" s="480">
        <f>IF(F107+SUM(E$100:E107)=D$93,F107,D$93-SUM(E$100:E107))</f>
        <v>2260951.0199999996</v>
      </c>
      <c r="E108" s="377">
        <f t="shared" si="17"/>
        <v>161496.50142857144</v>
      </c>
      <c r="F108" s="481">
        <f t="shared" si="18"/>
        <v>2099454.518571428</v>
      </c>
      <c r="G108" s="481">
        <f t="shared" si="19"/>
        <v>2180202.7692857138</v>
      </c>
      <c r="H108" s="515">
        <f t="shared" ref="H108:H155" si="26">(D108+F108)/2*J$95+E108</f>
        <v>411693.89808010845</v>
      </c>
      <c r="I108" s="516">
        <f t="shared" si="21"/>
        <v>411693.89808010845</v>
      </c>
      <c r="J108" s="484">
        <f t="shared" si="13"/>
        <v>0</v>
      </c>
      <c r="K108" s="484"/>
      <c r="L108" s="112"/>
      <c r="M108" s="484">
        <f t="shared" si="14"/>
        <v>0</v>
      </c>
      <c r="N108" s="112"/>
      <c r="O108" s="484">
        <f t="shared" si="15"/>
        <v>0</v>
      </c>
      <c r="P108" s="484">
        <f t="shared" si="16"/>
        <v>0</v>
      </c>
    </row>
    <row r="109" spans="1:16">
      <c r="B109" t="str">
        <f t="shared" si="12"/>
        <v/>
      </c>
      <c r="C109" s="479">
        <f>IF(D94="","-",+C108+1)</f>
        <v>2033</v>
      </c>
      <c r="D109" s="480">
        <f>IF(F108+SUM(E$100:E108)=D$93,F108,D$93-SUM(E$100:E108))</f>
        <v>2099454.518571428</v>
      </c>
      <c r="E109" s="377">
        <f t="shared" si="17"/>
        <v>161496.50142857144</v>
      </c>
      <c r="F109" s="481">
        <f t="shared" si="18"/>
        <v>1937958.0171428565</v>
      </c>
      <c r="G109" s="481">
        <f t="shared" si="19"/>
        <v>2018706.2678571423</v>
      </c>
      <c r="H109" s="515">
        <f t="shared" si="26"/>
        <v>393160.75758740201</v>
      </c>
      <c r="I109" s="516">
        <f t="shared" si="21"/>
        <v>393160.75758740201</v>
      </c>
      <c r="J109" s="484">
        <f t="shared" si="13"/>
        <v>0</v>
      </c>
      <c r="K109" s="484"/>
      <c r="L109" s="112"/>
      <c r="M109" s="484">
        <f t="shared" si="14"/>
        <v>0</v>
      </c>
      <c r="N109" s="112"/>
      <c r="O109" s="484">
        <f t="shared" si="15"/>
        <v>0</v>
      </c>
      <c r="P109" s="484">
        <f t="shared" si="16"/>
        <v>0</v>
      </c>
    </row>
    <row r="110" spans="1:16">
      <c r="B110" t="str">
        <f t="shared" si="12"/>
        <v/>
      </c>
      <c r="C110" s="479">
        <f>IF(D94="","-",+C109+1)</f>
        <v>2034</v>
      </c>
      <c r="D110" s="480">
        <f>IF(F109+SUM(E$100:E109)=D$93,F109,D$93-SUM(E$100:E109))</f>
        <v>1937958.0171428565</v>
      </c>
      <c r="E110" s="377">
        <f t="shared" si="17"/>
        <v>161496.50142857144</v>
      </c>
      <c r="F110" s="481">
        <f t="shared" si="18"/>
        <v>1776461.515714285</v>
      </c>
      <c r="G110" s="481">
        <f t="shared" si="19"/>
        <v>1857209.7664285707</v>
      </c>
      <c r="H110" s="515">
        <f t="shared" si="26"/>
        <v>374627.61709469557</v>
      </c>
      <c r="I110" s="516">
        <f t="shared" si="21"/>
        <v>374627.61709469557</v>
      </c>
      <c r="J110" s="484">
        <f t="shared" si="13"/>
        <v>0</v>
      </c>
      <c r="K110" s="484"/>
      <c r="L110" s="112"/>
      <c r="M110" s="484">
        <f t="shared" si="14"/>
        <v>0</v>
      </c>
      <c r="N110" s="112"/>
      <c r="O110" s="484">
        <f t="shared" si="15"/>
        <v>0</v>
      </c>
      <c r="P110" s="484">
        <f t="shared" si="16"/>
        <v>0</v>
      </c>
    </row>
    <row r="111" spans="1:16">
      <c r="B111" t="str">
        <f t="shared" si="12"/>
        <v/>
      </c>
      <c r="C111" s="479">
        <f>IF(D94="","-",+C110+1)</f>
        <v>2035</v>
      </c>
      <c r="D111" s="480">
        <f>IF(F110+SUM(E$100:E110)=D$93,F110,D$93-SUM(E$100:E110))</f>
        <v>1776461.515714285</v>
      </c>
      <c r="E111" s="377">
        <f t="shared" si="17"/>
        <v>161496.50142857144</v>
      </c>
      <c r="F111" s="481">
        <f t="shared" si="18"/>
        <v>1614965.0142857134</v>
      </c>
      <c r="G111" s="481">
        <f t="shared" si="19"/>
        <v>1695713.2649999992</v>
      </c>
      <c r="H111" s="515">
        <f t="shared" si="26"/>
        <v>356094.47660198907</v>
      </c>
      <c r="I111" s="516">
        <f t="shared" si="21"/>
        <v>356094.47660198907</v>
      </c>
      <c r="J111" s="484">
        <f t="shared" si="13"/>
        <v>0</v>
      </c>
      <c r="K111" s="484"/>
      <c r="L111" s="112"/>
      <c r="M111" s="484">
        <f t="shared" si="14"/>
        <v>0</v>
      </c>
      <c r="N111" s="112"/>
      <c r="O111" s="484">
        <f t="shared" si="15"/>
        <v>0</v>
      </c>
      <c r="P111" s="484">
        <f t="shared" si="16"/>
        <v>0</v>
      </c>
    </row>
    <row r="112" spans="1:16">
      <c r="B112" t="str">
        <f t="shared" si="12"/>
        <v/>
      </c>
      <c r="C112" s="479">
        <f>IF(D94="","-",+C111+1)</f>
        <v>2036</v>
      </c>
      <c r="D112" s="480">
        <f>IF(F111+SUM(E$100:E111)=D$93,F111,D$93-SUM(E$100:E111))</f>
        <v>1614965.0142857134</v>
      </c>
      <c r="E112" s="377">
        <f t="shared" si="17"/>
        <v>161496.50142857144</v>
      </c>
      <c r="F112" s="481">
        <f t="shared" si="18"/>
        <v>1453468.5128571419</v>
      </c>
      <c r="G112" s="481">
        <f t="shared" si="19"/>
        <v>1534216.7635714277</v>
      </c>
      <c r="H112" s="515">
        <f t="shared" si="26"/>
        <v>337561.33610928257</v>
      </c>
      <c r="I112" s="516">
        <f t="shared" si="21"/>
        <v>337561.33610928257</v>
      </c>
      <c r="J112" s="484">
        <f t="shared" si="13"/>
        <v>0</v>
      </c>
      <c r="K112" s="484"/>
      <c r="L112" s="112"/>
      <c r="M112" s="484">
        <f t="shared" si="14"/>
        <v>0</v>
      </c>
      <c r="N112" s="112"/>
      <c r="O112" s="484">
        <f t="shared" si="15"/>
        <v>0</v>
      </c>
      <c r="P112" s="484">
        <f t="shared" si="16"/>
        <v>0</v>
      </c>
    </row>
    <row r="113" spans="2:16">
      <c r="B113" t="str">
        <f t="shared" si="12"/>
        <v/>
      </c>
      <c r="C113" s="479">
        <f>IF(D94="","-",+C112+1)</f>
        <v>2037</v>
      </c>
      <c r="D113" s="480">
        <f>IF(F112+SUM(E$100:E112)=D$93,F112,D$93-SUM(E$100:E112))</f>
        <v>1453468.5128571419</v>
      </c>
      <c r="E113" s="377">
        <f t="shared" si="17"/>
        <v>161496.50142857144</v>
      </c>
      <c r="F113" s="481">
        <f t="shared" si="18"/>
        <v>1291972.0114285704</v>
      </c>
      <c r="G113" s="481">
        <f t="shared" si="19"/>
        <v>1372720.2621428561</v>
      </c>
      <c r="H113" s="515">
        <f t="shared" si="26"/>
        <v>319028.19561657612</v>
      </c>
      <c r="I113" s="516">
        <f t="shared" si="21"/>
        <v>319028.19561657612</v>
      </c>
      <c r="J113" s="484">
        <f t="shared" si="13"/>
        <v>0</v>
      </c>
      <c r="K113" s="484"/>
      <c r="L113" s="112"/>
      <c r="M113" s="484">
        <f t="shared" si="14"/>
        <v>0</v>
      </c>
      <c r="N113" s="112"/>
      <c r="O113" s="484">
        <f t="shared" si="15"/>
        <v>0</v>
      </c>
      <c r="P113" s="484">
        <f t="shared" si="16"/>
        <v>0</v>
      </c>
    </row>
    <row r="114" spans="2:16">
      <c r="B114" t="str">
        <f t="shared" si="12"/>
        <v/>
      </c>
      <c r="C114" s="479">
        <f>IF(D94="","-",+C113+1)</f>
        <v>2038</v>
      </c>
      <c r="D114" s="480">
        <f>IF(F113+SUM(E$100:E113)=D$93,F113,D$93-SUM(E$100:E113))</f>
        <v>1291972.0114285704</v>
      </c>
      <c r="E114" s="377">
        <f t="shared" si="17"/>
        <v>161496.50142857144</v>
      </c>
      <c r="F114" s="481">
        <f t="shared" si="18"/>
        <v>1130475.5099999988</v>
      </c>
      <c r="G114" s="481">
        <f t="shared" si="19"/>
        <v>1211223.7607142846</v>
      </c>
      <c r="H114" s="515">
        <f t="shared" si="26"/>
        <v>300495.05512386968</v>
      </c>
      <c r="I114" s="516">
        <f t="shared" si="21"/>
        <v>300495.05512386968</v>
      </c>
      <c r="J114" s="484">
        <f t="shared" si="13"/>
        <v>0</v>
      </c>
      <c r="K114" s="484"/>
      <c r="L114" s="112"/>
      <c r="M114" s="484">
        <f t="shared" si="14"/>
        <v>0</v>
      </c>
      <c r="N114" s="112"/>
      <c r="O114" s="484">
        <f t="shared" si="15"/>
        <v>0</v>
      </c>
      <c r="P114" s="484">
        <f t="shared" si="16"/>
        <v>0</v>
      </c>
    </row>
    <row r="115" spans="2:16">
      <c r="B115" t="str">
        <f t="shared" si="12"/>
        <v/>
      </c>
      <c r="C115" s="479">
        <f>IF(D94="","-",+C114+1)</f>
        <v>2039</v>
      </c>
      <c r="D115" s="480">
        <f>IF(F114+SUM(E$100:E114)=D$93,F114,D$93-SUM(E$100:E114))</f>
        <v>1130475.5099999988</v>
      </c>
      <c r="E115" s="377">
        <f t="shared" si="17"/>
        <v>161496.50142857144</v>
      </c>
      <c r="F115" s="481">
        <f t="shared" si="18"/>
        <v>968979.00857142743</v>
      </c>
      <c r="G115" s="481">
        <f t="shared" si="19"/>
        <v>1049727.2592857131</v>
      </c>
      <c r="H115" s="515">
        <f t="shared" si="26"/>
        <v>281961.91463116324</v>
      </c>
      <c r="I115" s="516">
        <f t="shared" si="21"/>
        <v>281961.91463116324</v>
      </c>
      <c r="J115" s="484">
        <f t="shared" si="13"/>
        <v>0</v>
      </c>
      <c r="K115" s="484"/>
      <c r="L115" s="112"/>
      <c r="M115" s="484">
        <f t="shared" si="14"/>
        <v>0</v>
      </c>
      <c r="N115" s="112"/>
      <c r="O115" s="484">
        <f t="shared" si="15"/>
        <v>0</v>
      </c>
      <c r="P115" s="484">
        <f t="shared" si="16"/>
        <v>0</v>
      </c>
    </row>
    <row r="116" spans="2:16">
      <c r="B116" t="str">
        <f t="shared" si="12"/>
        <v/>
      </c>
      <c r="C116" s="479">
        <f>IF(D94="","-",+C115+1)</f>
        <v>2040</v>
      </c>
      <c r="D116" s="480">
        <f>IF(F115+SUM(E$100:E115)=D$93,F115,D$93-SUM(E$100:E115))</f>
        <v>968979.00857142743</v>
      </c>
      <c r="E116" s="377">
        <f t="shared" si="17"/>
        <v>161496.50142857144</v>
      </c>
      <c r="F116" s="481">
        <f t="shared" si="18"/>
        <v>807482.50714285602</v>
      </c>
      <c r="G116" s="481">
        <f t="shared" si="19"/>
        <v>888230.75785714178</v>
      </c>
      <c r="H116" s="515">
        <f t="shared" si="26"/>
        <v>263428.77413845679</v>
      </c>
      <c r="I116" s="516">
        <f t="shared" si="21"/>
        <v>263428.77413845679</v>
      </c>
      <c r="J116" s="484">
        <f t="shared" si="13"/>
        <v>0</v>
      </c>
      <c r="K116" s="484"/>
      <c r="L116" s="112"/>
      <c r="M116" s="484">
        <f t="shared" si="14"/>
        <v>0</v>
      </c>
      <c r="N116" s="112"/>
      <c r="O116" s="484">
        <f t="shared" si="15"/>
        <v>0</v>
      </c>
      <c r="P116" s="484">
        <f t="shared" si="16"/>
        <v>0</v>
      </c>
    </row>
    <row r="117" spans="2:16">
      <c r="B117" t="str">
        <f t="shared" si="12"/>
        <v/>
      </c>
      <c r="C117" s="479">
        <f>IF(D94="","-",+C116+1)</f>
        <v>2041</v>
      </c>
      <c r="D117" s="480">
        <f>IF(F116+SUM(E$100:E116)=D$93,F116,D$93-SUM(E$100:E116))</f>
        <v>807482.50714285602</v>
      </c>
      <c r="E117" s="377">
        <f t="shared" si="17"/>
        <v>161496.50142857144</v>
      </c>
      <c r="F117" s="481">
        <f t="shared" si="18"/>
        <v>645986.00571428461</v>
      </c>
      <c r="G117" s="481">
        <f t="shared" si="19"/>
        <v>726734.25642857025</v>
      </c>
      <c r="H117" s="515">
        <f t="shared" si="26"/>
        <v>244895.63364575035</v>
      </c>
      <c r="I117" s="516">
        <f t="shared" si="21"/>
        <v>244895.63364575035</v>
      </c>
      <c r="J117" s="484">
        <f t="shared" si="13"/>
        <v>0</v>
      </c>
      <c r="K117" s="484"/>
      <c r="L117" s="112"/>
      <c r="M117" s="484">
        <f t="shared" si="14"/>
        <v>0</v>
      </c>
      <c r="N117" s="112"/>
      <c r="O117" s="484">
        <f t="shared" si="15"/>
        <v>0</v>
      </c>
      <c r="P117" s="484">
        <f t="shared" si="16"/>
        <v>0</v>
      </c>
    </row>
    <row r="118" spans="2:16">
      <c r="B118" t="str">
        <f t="shared" si="12"/>
        <v/>
      </c>
      <c r="C118" s="479">
        <f>IF(D94="","-",+C117+1)</f>
        <v>2042</v>
      </c>
      <c r="D118" s="480">
        <f>IF(F117+SUM(E$100:E117)=D$93,F117,D$93-SUM(E$100:E117))</f>
        <v>645986.00571428461</v>
      </c>
      <c r="E118" s="377">
        <f t="shared" si="17"/>
        <v>161496.50142857144</v>
      </c>
      <c r="F118" s="481">
        <f t="shared" si="18"/>
        <v>484489.50428571319</v>
      </c>
      <c r="G118" s="481">
        <f t="shared" si="19"/>
        <v>565237.75499999896</v>
      </c>
      <c r="H118" s="515">
        <f t="shared" si="26"/>
        <v>226362.49315304391</v>
      </c>
      <c r="I118" s="516">
        <f t="shared" si="21"/>
        <v>226362.49315304391</v>
      </c>
      <c r="J118" s="484">
        <f t="shared" si="13"/>
        <v>0</v>
      </c>
      <c r="K118" s="484"/>
      <c r="L118" s="112"/>
      <c r="M118" s="484">
        <f t="shared" si="14"/>
        <v>0</v>
      </c>
      <c r="N118" s="112"/>
      <c r="O118" s="484">
        <f t="shared" si="15"/>
        <v>0</v>
      </c>
      <c r="P118" s="484">
        <f t="shared" si="16"/>
        <v>0</v>
      </c>
    </row>
    <row r="119" spans="2:16">
      <c r="B119" t="str">
        <f t="shared" si="12"/>
        <v/>
      </c>
      <c r="C119" s="479">
        <f>IF(D94="","-",+C118+1)</f>
        <v>2043</v>
      </c>
      <c r="D119" s="480">
        <f>IF(F118+SUM(E$100:E118)=D$93,F118,D$93-SUM(E$100:E118))</f>
        <v>484489.50428571319</v>
      </c>
      <c r="E119" s="377">
        <f t="shared" si="17"/>
        <v>161496.50142857144</v>
      </c>
      <c r="F119" s="481">
        <f t="shared" si="18"/>
        <v>322993.00285714178</v>
      </c>
      <c r="G119" s="481">
        <f t="shared" si="19"/>
        <v>403741.25357142749</v>
      </c>
      <c r="H119" s="515">
        <f t="shared" si="26"/>
        <v>207829.35266033743</v>
      </c>
      <c r="I119" s="516">
        <f t="shared" si="21"/>
        <v>207829.35266033743</v>
      </c>
      <c r="J119" s="484">
        <f t="shared" si="13"/>
        <v>0</v>
      </c>
      <c r="K119" s="484"/>
      <c r="L119" s="112"/>
      <c r="M119" s="484">
        <f t="shared" si="14"/>
        <v>0</v>
      </c>
      <c r="N119" s="112"/>
      <c r="O119" s="484">
        <f t="shared" si="15"/>
        <v>0</v>
      </c>
      <c r="P119" s="484">
        <f t="shared" si="16"/>
        <v>0</v>
      </c>
    </row>
    <row r="120" spans="2:16">
      <c r="B120" t="str">
        <f t="shared" si="12"/>
        <v/>
      </c>
      <c r="C120" s="479">
        <f>IF(D94="","-",+C119+1)</f>
        <v>2044</v>
      </c>
      <c r="D120" s="480">
        <f>IF(F119+SUM(E$100:E119)=D$93,F119,D$93-SUM(E$100:E119))</f>
        <v>322993.00285714178</v>
      </c>
      <c r="E120" s="377">
        <f t="shared" si="17"/>
        <v>161496.50142857144</v>
      </c>
      <c r="F120" s="481">
        <f t="shared" si="18"/>
        <v>161496.50142857034</v>
      </c>
      <c r="G120" s="481">
        <f t="shared" si="19"/>
        <v>242244.75214285607</v>
      </c>
      <c r="H120" s="515">
        <f t="shared" si="26"/>
        <v>189296.21216763099</v>
      </c>
      <c r="I120" s="516">
        <f t="shared" si="21"/>
        <v>189296.21216763099</v>
      </c>
      <c r="J120" s="484">
        <f t="shared" si="13"/>
        <v>0</v>
      </c>
      <c r="K120" s="484"/>
      <c r="L120" s="112"/>
      <c r="M120" s="484">
        <f t="shared" si="14"/>
        <v>0</v>
      </c>
      <c r="N120" s="112"/>
      <c r="O120" s="484">
        <f t="shared" si="15"/>
        <v>0</v>
      </c>
      <c r="P120" s="484">
        <f t="shared" si="16"/>
        <v>0</v>
      </c>
    </row>
    <row r="121" spans="2:16">
      <c r="B121" t="str">
        <f t="shared" si="12"/>
        <v/>
      </c>
      <c r="C121" s="479">
        <f>IF(D94="","-",+C120+1)</f>
        <v>2045</v>
      </c>
      <c r="D121" s="480">
        <f>IF(F120+SUM(E$100:E120)=D$93,F120,D$93-SUM(E$100:E120))</f>
        <v>161496.50142857034</v>
      </c>
      <c r="E121" s="377">
        <f t="shared" si="17"/>
        <v>161496.50142857034</v>
      </c>
      <c r="F121" s="481">
        <f t="shared" si="18"/>
        <v>0</v>
      </c>
      <c r="G121" s="481">
        <f t="shared" si="19"/>
        <v>80748.250714285168</v>
      </c>
      <c r="H121" s="515">
        <f t="shared" si="26"/>
        <v>170763.0716749235</v>
      </c>
      <c r="I121" s="516">
        <f t="shared" si="21"/>
        <v>170763.0716749235</v>
      </c>
      <c r="J121" s="484">
        <f t="shared" si="13"/>
        <v>0</v>
      </c>
      <c r="K121" s="484"/>
      <c r="L121" s="112"/>
      <c r="M121" s="484">
        <f t="shared" si="14"/>
        <v>0</v>
      </c>
      <c r="N121" s="112"/>
      <c r="O121" s="484">
        <f t="shared" si="15"/>
        <v>0</v>
      </c>
      <c r="P121" s="484">
        <f t="shared" si="16"/>
        <v>0</v>
      </c>
    </row>
    <row r="122" spans="2:16">
      <c r="B122" t="str">
        <f t="shared" si="12"/>
        <v/>
      </c>
      <c r="C122" s="479">
        <f>IF(D94="","-",+C121+1)</f>
        <v>2046</v>
      </c>
      <c r="D122" s="480">
        <f>IF(F121+SUM(E$100:E121)=D$93,F121,D$93-SUM(E$100:E121))</f>
        <v>0</v>
      </c>
      <c r="E122" s="377">
        <f t="shared" si="17"/>
        <v>0</v>
      </c>
      <c r="F122" s="481">
        <f t="shared" si="18"/>
        <v>0</v>
      </c>
      <c r="G122" s="481">
        <f t="shared" si="19"/>
        <v>0</v>
      </c>
      <c r="H122" s="515">
        <f t="shared" si="26"/>
        <v>0</v>
      </c>
      <c r="I122" s="516">
        <f t="shared" si="21"/>
        <v>0</v>
      </c>
      <c r="J122" s="484">
        <f t="shared" si="13"/>
        <v>0</v>
      </c>
      <c r="K122" s="484"/>
      <c r="L122" s="112"/>
      <c r="M122" s="484">
        <f t="shared" si="14"/>
        <v>0</v>
      </c>
      <c r="N122" s="112"/>
      <c r="O122" s="484">
        <f t="shared" si="15"/>
        <v>0</v>
      </c>
      <c r="P122" s="484">
        <f t="shared" si="16"/>
        <v>0</v>
      </c>
    </row>
    <row r="123" spans="2:16">
      <c r="B123" t="str">
        <f t="shared" si="12"/>
        <v/>
      </c>
      <c r="C123" s="479">
        <f>IF(D94="","-",+C122+1)</f>
        <v>2047</v>
      </c>
      <c r="D123" s="480">
        <f>IF(F122+SUM(E$100:E122)=D$93,F122,D$93-SUM(E$100:E122))</f>
        <v>0</v>
      </c>
      <c r="E123" s="377">
        <f t="shared" si="17"/>
        <v>0</v>
      </c>
      <c r="F123" s="481">
        <f t="shared" si="18"/>
        <v>0</v>
      </c>
      <c r="G123" s="481">
        <f t="shared" si="19"/>
        <v>0</v>
      </c>
      <c r="H123" s="515">
        <f t="shared" si="26"/>
        <v>0</v>
      </c>
      <c r="I123" s="516">
        <f t="shared" si="21"/>
        <v>0</v>
      </c>
      <c r="J123" s="484">
        <f t="shared" si="13"/>
        <v>0</v>
      </c>
      <c r="K123" s="484"/>
      <c r="L123" s="112"/>
      <c r="M123" s="484">
        <f t="shared" si="14"/>
        <v>0</v>
      </c>
      <c r="N123" s="112"/>
      <c r="O123" s="484">
        <f t="shared" si="15"/>
        <v>0</v>
      </c>
      <c r="P123" s="484">
        <f t="shared" si="16"/>
        <v>0</v>
      </c>
    </row>
    <row r="124" spans="2:16">
      <c r="B124" t="str">
        <f t="shared" si="12"/>
        <v/>
      </c>
      <c r="C124" s="479">
        <f>IF(D94="","-",+C123+1)</f>
        <v>2048</v>
      </c>
      <c r="D124" s="480">
        <f>IF(F123+SUM(E$100:E123)=D$93,F123,D$93-SUM(E$100:E123))</f>
        <v>0</v>
      </c>
      <c r="E124" s="377">
        <f t="shared" si="17"/>
        <v>0</v>
      </c>
      <c r="F124" s="481">
        <f t="shared" si="18"/>
        <v>0</v>
      </c>
      <c r="G124" s="481">
        <f t="shared" si="19"/>
        <v>0</v>
      </c>
      <c r="H124" s="515">
        <f t="shared" si="26"/>
        <v>0</v>
      </c>
      <c r="I124" s="516">
        <f t="shared" si="21"/>
        <v>0</v>
      </c>
      <c r="J124" s="484">
        <f t="shared" si="13"/>
        <v>0</v>
      </c>
      <c r="K124" s="484"/>
      <c r="L124" s="112"/>
      <c r="M124" s="484">
        <f t="shared" si="14"/>
        <v>0</v>
      </c>
      <c r="N124" s="112"/>
      <c r="O124" s="484">
        <f t="shared" si="15"/>
        <v>0</v>
      </c>
      <c r="P124" s="484">
        <f t="shared" si="16"/>
        <v>0</v>
      </c>
    </row>
    <row r="125" spans="2:16">
      <c r="B125" t="str">
        <f t="shared" si="12"/>
        <v/>
      </c>
      <c r="C125" s="479">
        <f>IF(D94="","-",+C124+1)</f>
        <v>2049</v>
      </c>
      <c r="D125" s="480">
        <f>IF(F124+SUM(E$100:E124)=D$93,F124,D$93-SUM(E$100:E124))</f>
        <v>0</v>
      </c>
      <c r="E125" s="377">
        <f t="shared" si="17"/>
        <v>0</v>
      </c>
      <c r="F125" s="481">
        <f t="shared" si="18"/>
        <v>0</v>
      </c>
      <c r="G125" s="481">
        <f t="shared" si="19"/>
        <v>0</v>
      </c>
      <c r="H125" s="515">
        <f t="shared" si="26"/>
        <v>0</v>
      </c>
      <c r="I125" s="516">
        <f t="shared" si="21"/>
        <v>0</v>
      </c>
      <c r="J125" s="484">
        <f t="shared" si="13"/>
        <v>0</v>
      </c>
      <c r="K125" s="484"/>
      <c r="L125" s="112"/>
      <c r="M125" s="484">
        <f t="shared" si="14"/>
        <v>0</v>
      </c>
      <c r="N125" s="112"/>
      <c r="O125" s="484">
        <f t="shared" si="15"/>
        <v>0</v>
      </c>
      <c r="P125" s="484">
        <f t="shared" si="16"/>
        <v>0</v>
      </c>
    </row>
    <row r="126" spans="2:16">
      <c r="B126" t="str">
        <f t="shared" si="12"/>
        <v/>
      </c>
      <c r="C126" s="479">
        <f>IF(D94="","-",+C125+1)</f>
        <v>2050</v>
      </c>
      <c r="D126" s="480">
        <f>IF(F125+SUM(E$100:E125)=D$93,F125,D$93-SUM(E$100:E125))</f>
        <v>0</v>
      </c>
      <c r="E126" s="377">
        <f t="shared" si="17"/>
        <v>0</v>
      </c>
      <c r="F126" s="481">
        <f t="shared" si="18"/>
        <v>0</v>
      </c>
      <c r="G126" s="481">
        <f t="shared" si="19"/>
        <v>0</v>
      </c>
      <c r="H126" s="515">
        <f t="shared" si="26"/>
        <v>0</v>
      </c>
      <c r="I126" s="516">
        <f t="shared" si="21"/>
        <v>0</v>
      </c>
      <c r="J126" s="484">
        <f t="shared" si="13"/>
        <v>0</v>
      </c>
      <c r="K126" s="484"/>
      <c r="L126" s="112"/>
      <c r="M126" s="484">
        <f t="shared" si="14"/>
        <v>0</v>
      </c>
      <c r="N126" s="112"/>
      <c r="O126" s="484">
        <f t="shared" si="15"/>
        <v>0</v>
      </c>
      <c r="P126" s="484">
        <f t="shared" si="16"/>
        <v>0</v>
      </c>
    </row>
    <row r="127" spans="2:16">
      <c r="B127" t="str">
        <f t="shared" si="12"/>
        <v/>
      </c>
      <c r="C127" s="479">
        <f>IF(D94="","-",+C126+1)</f>
        <v>2051</v>
      </c>
      <c r="D127" s="480">
        <f>IF(F126+SUM(E$100:E126)=D$93,F126,D$93-SUM(E$100:E126))</f>
        <v>0</v>
      </c>
      <c r="E127" s="377">
        <f t="shared" si="17"/>
        <v>0</v>
      </c>
      <c r="F127" s="481">
        <f t="shared" si="18"/>
        <v>0</v>
      </c>
      <c r="G127" s="481">
        <f t="shared" si="19"/>
        <v>0</v>
      </c>
      <c r="H127" s="515">
        <f t="shared" si="26"/>
        <v>0</v>
      </c>
      <c r="I127" s="516">
        <f t="shared" si="21"/>
        <v>0</v>
      </c>
      <c r="J127" s="484">
        <f t="shared" si="13"/>
        <v>0</v>
      </c>
      <c r="K127" s="484"/>
      <c r="L127" s="112"/>
      <c r="M127" s="484">
        <f t="shared" si="14"/>
        <v>0</v>
      </c>
      <c r="N127" s="112"/>
      <c r="O127" s="484">
        <f t="shared" si="15"/>
        <v>0</v>
      </c>
      <c r="P127" s="484">
        <f t="shared" si="16"/>
        <v>0</v>
      </c>
    </row>
    <row r="128" spans="2:16">
      <c r="B128" t="str">
        <f t="shared" si="12"/>
        <v/>
      </c>
      <c r="C128" s="479">
        <f>IF(D94="","-",+C127+1)</f>
        <v>2052</v>
      </c>
      <c r="D128" s="480">
        <f>IF(F127+SUM(E$100:E127)=D$93,F127,D$93-SUM(E$100:E127))</f>
        <v>0</v>
      </c>
      <c r="E128" s="377">
        <f t="shared" si="17"/>
        <v>0</v>
      </c>
      <c r="F128" s="481">
        <f t="shared" si="18"/>
        <v>0</v>
      </c>
      <c r="G128" s="481">
        <f t="shared" si="19"/>
        <v>0</v>
      </c>
      <c r="H128" s="515">
        <f t="shared" si="26"/>
        <v>0</v>
      </c>
      <c r="I128" s="516">
        <f t="shared" si="21"/>
        <v>0</v>
      </c>
      <c r="J128" s="484">
        <f t="shared" si="13"/>
        <v>0</v>
      </c>
      <c r="K128" s="484"/>
      <c r="L128" s="112"/>
      <c r="M128" s="484">
        <f t="shared" si="14"/>
        <v>0</v>
      </c>
      <c r="N128" s="112"/>
      <c r="O128" s="484">
        <f t="shared" si="15"/>
        <v>0</v>
      </c>
      <c r="P128" s="484">
        <f t="shared" si="16"/>
        <v>0</v>
      </c>
    </row>
    <row r="129" spans="2:16">
      <c r="B129" t="str">
        <f t="shared" si="12"/>
        <v/>
      </c>
      <c r="C129" s="479">
        <f>IF(D94="","-",+C128+1)</f>
        <v>2053</v>
      </c>
      <c r="D129" s="480">
        <f>IF(F128+SUM(E$100:E128)=D$93,F128,D$93-SUM(E$100:E128))</f>
        <v>0</v>
      </c>
      <c r="E129" s="377">
        <f t="shared" si="17"/>
        <v>0</v>
      </c>
      <c r="F129" s="481">
        <f t="shared" si="18"/>
        <v>0</v>
      </c>
      <c r="G129" s="481">
        <f t="shared" si="19"/>
        <v>0</v>
      </c>
      <c r="H129" s="515">
        <f t="shared" si="26"/>
        <v>0</v>
      </c>
      <c r="I129" s="516">
        <f t="shared" si="21"/>
        <v>0</v>
      </c>
      <c r="J129" s="484">
        <f t="shared" si="13"/>
        <v>0</v>
      </c>
      <c r="K129" s="484"/>
      <c r="L129" s="112"/>
      <c r="M129" s="484">
        <f t="shared" si="14"/>
        <v>0</v>
      </c>
      <c r="N129" s="112"/>
      <c r="O129" s="484">
        <f t="shared" si="15"/>
        <v>0</v>
      </c>
      <c r="P129" s="484">
        <f t="shared" si="16"/>
        <v>0</v>
      </c>
    </row>
    <row r="130" spans="2:16">
      <c r="B130" t="str">
        <f t="shared" si="12"/>
        <v/>
      </c>
      <c r="C130" s="479">
        <f>IF(D94="","-",+C129+1)</f>
        <v>2054</v>
      </c>
      <c r="D130" s="480">
        <f>IF(F129+SUM(E$100:E129)=D$93,F129,D$93-SUM(E$100:E129))</f>
        <v>0</v>
      </c>
      <c r="E130" s="377">
        <f t="shared" si="17"/>
        <v>0</v>
      </c>
      <c r="F130" s="481">
        <f t="shared" si="18"/>
        <v>0</v>
      </c>
      <c r="G130" s="481">
        <f t="shared" si="19"/>
        <v>0</v>
      </c>
      <c r="H130" s="515">
        <f t="shared" si="26"/>
        <v>0</v>
      </c>
      <c r="I130" s="516">
        <f t="shared" si="21"/>
        <v>0</v>
      </c>
      <c r="J130" s="484">
        <f t="shared" si="13"/>
        <v>0</v>
      </c>
      <c r="K130" s="484"/>
      <c r="L130" s="112"/>
      <c r="M130" s="484">
        <f t="shared" si="14"/>
        <v>0</v>
      </c>
      <c r="N130" s="112"/>
      <c r="O130" s="484">
        <f t="shared" si="15"/>
        <v>0</v>
      </c>
      <c r="P130" s="484">
        <f t="shared" si="16"/>
        <v>0</v>
      </c>
    </row>
    <row r="131" spans="2:16">
      <c r="B131" t="str">
        <f t="shared" si="12"/>
        <v/>
      </c>
      <c r="C131" s="479">
        <f>IF(D94="","-",+C130+1)</f>
        <v>2055</v>
      </c>
      <c r="D131" s="480">
        <f>IF(F130+SUM(E$100:E130)=D$93,F130,D$93-SUM(E$100:E130))</f>
        <v>0</v>
      </c>
      <c r="E131" s="377">
        <f t="shared" si="17"/>
        <v>0</v>
      </c>
      <c r="F131" s="481">
        <f t="shared" si="18"/>
        <v>0</v>
      </c>
      <c r="G131" s="481">
        <f t="shared" si="19"/>
        <v>0</v>
      </c>
      <c r="H131" s="515">
        <f t="shared" si="26"/>
        <v>0</v>
      </c>
      <c r="I131" s="516">
        <f t="shared" si="21"/>
        <v>0</v>
      </c>
      <c r="J131" s="484">
        <f t="shared" si="13"/>
        <v>0</v>
      </c>
      <c r="K131" s="484"/>
      <c r="L131" s="112"/>
      <c r="M131" s="484">
        <f t="shared" si="14"/>
        <v>0</v>
      </c>
      <c r="N131" s="112"/>
      <c r="O131" s="484">
        <f t="shared" si="15"/>
        <v>0</v>
      </c>
      <c r="P131" s="484">
        <f t="shared" si="16"/>
        <v>0</v>
      </c>
    </row>
    <row r="132" spans="2:16">
      <c r="B132" t="str">
        <f t="shared" si="12"/>
        <v/>
      </c>
      <c r="C132" s="479">
        <f>IF(D94="","-",+C131+1)</f>
        <v>2056</v>
      </c>
      <c r="D132" s="480">
        <f>IF(F131+SUM(E$100:E131)=D$93,F131,D$93-SUM(E$100:E131))</f>
        <v>0</v>
      </c>
      <c r="E132" s="377">
        <f t="shared" si="17"/>
        <v>0</v>
      </c>
      <c r="F132" s="481">
        <f t="shared" si="18"/>
        <v>0</v>
      </c>
      <c r="G132" s="481">
        <f t="shared" si="19"/>
        <v>0</v>
      </c>
      <c r="H132" s="515">
        <f t="shared" si="26"/>
        <v>0</v>
      </c>
      <c r="I132" s="516">
        <f t="shared" si="21"/>
        <v>0</v>
      </c>
      <c r="J132" s="484">
        <f t="shared" ref="J132:J155" si="27">+I542-H542</f>
        <v>0</v>
      </c>
      <c r="K132" s="484"/>
      <c r="L132" s="112"/>
      <c r="M132" s="484">
        <f t="shared" ref="M132:M155" si="28">IF(L542&lt;&gt;0,+H542-L542,0)</f>
        <v>0</v>
      </c>
      <c r="N132" s="112"/>
      <c r="O132" s="484">
        <f t="shared" ref="O132:O155" si="29">IF(N542&lt;&gt;0,+I542-N542,0)</f>
        <v>0</v>
      </c>
      <c r="P132" s="484">
        <f t="shared" ref="P132:P155" si="30">+O542-M542</f>
        <v>0</v>
      </c>
    </row>
    <row r="133" spans="2:16">
      <c r="B133" t="str">
        <f t="shared" si="12"/>
        <v/>
      </c>
      <c r="C133" s="479">
        <f>IF(D94="","-",+C132+1)</f>
        <v>2057</v>
      </c>
      <c r="D133" s="480">
        <f>IF(F132+SUM(E$100:E132)=D$93,F132,D$93-SUM(E$100:E132))</f>
        <v>0</v>
      </c>
      <c r="E133" s="377">
        <f t="shared" si="17"/>
        <v>0</v>
      </c>
      <c r="F133" s="481">
        <f t="shared" si="18"/>
        <v>0</v>
      </c>
      <c r="G133" s="481">
        <f t="shared" si="19"/>
        <v>0</v>
      </c>
      <c r="H133" s="515">
        <f t="shared" si="26"/>
        <v>0</v>
      </c>
      <c r="I133" s="516">
        <f t="shared" si="21"/>
        <v>0</v>
      </c>
      <c r="J133" s="484">
        <f t="shared" si="27"/>
        <v>0</v>
      </c>
      <c r="K133" s="484"/>
      <c r="L133" s="112"/>
      <c r="M133" s="484">
        <f t="shared" si="28"/>
        <v>0</v>
      </c>
      <c r="N133" s="112"/>
      <c r="O133" s="484">
        <f t="shared" si="29"/>
        <v>0</v>
      </c>
      <c r="P133" s="484">
        <f t="shared" si="30"/>
        <v>0</v>
      </c>
    </row>
    <row r="134" spans="2:16">
      <c r="B134" t="str">
        <f t="shared" si="12"/>
        <v/>
      </c>
      <c r="C134" s="479">
        <f>IF(D94="","-",+C133+1)</f>
        <v>2058</v>
      </c>
      <c r="D134" s="480">
        <f>IF(F133+SUM(E$100:E133)=D$93,F133,D$93-SUM(E$100:E133))</f>
        <v>0</v>
      </c>
      <c r="E134" s="377">
        <f t="shared" si="17"/>
        <v>0</v>
      </c>
      <c r="F134" s="481">
        <f t="shared" si="18"/>
        <v>0</v>
      </c>
      <c r="G134" s="481">
        <f t="shared" si="19"/>
        <v>0</v>
      </c>
      <c r="H134" s="515">
        <f t="shared" si="26"/>
        <v>0</v>
      </c>
      <c r="I134" s="516">
        <f t="shared" si="21"/>
        <v>0</v>
      </c>
      <c r="J134" s="484">
        <f t="shared" si="27"/>
        <v>0</v>
      </c>
      <c r="K134" s="484"/>
      <c r="L134" s="112"/>
      <c r="M134" s="484">
        <f t="shared" si="28"/>
        <v>0</v>
      </c>
      <c r="N134" s="112"/>
      <c r="O134" s="484">
        <f t="shared" si="29"/>
        <v>0</v>
      </c>
      <c r="P134" s="484">
        <f t="shared" si="30"/>
        <v>0</v>
      </c>
    </row>
    <row r="135" spans="2:16">
      <c r="B135" t="str">
        <f t="shared" si="12"/>
        <v/>
      </c>
      <c r="C135" s="479">
        <f>IF(D94="","-",+C134+1)</f>
        <v>2059</v>
      </c>
      <c r="D135" s="480">
        <f>IF(F134+SUM(E$100:E134)=D$93,F134,D$93-SUM(E$100:E134))</f>
        <v>0</v>
      </c>
      <c r="E135" s="377">
        <f t="shared" si="17"/>
        <v>0</v>
      </c>
      <c r="F135" s="481">
        <f t="shared" si="18"/>
        <v>0</v>
      </c>
      <c r="G135" s="481">
        <f t="shared" si="19"/>
        <v>0</v>
      </c>
      <c r="H135" s="515">
        <f t="shared" si="26"/>
        <v>0</v>
      </c>
      <c r="I135" s="516">
        <f t="shared" si="21"/>
        <v>0</v>
      </c>
      <c r="J135" s="484">
        <f t="shared" si="27"/>
        <v>0</v>
      </c>
      <c r="K135" s="484"/>
      <c r="L135" s="112"/>
      <c r="M135" s="484">
        <f t="shared" si="28"/>
        <v>0</v>
      </c>
      <c r="N135" s="112"/>
      <c r="O135" s="484">
        <f t="shared" si="29"/>
        <v>0</v>
      </c>
      <c r="P135" s="484">
        <f t="shared" si="30"/>
        <v>0</v>
      </c>
    </row>
    <row r="136" spans="2:16">
      <c r="B136" t="str">
        <f t="shared" si="12"/>
        <v/>
      </c>
      <c r="C136" s="479">
        <f>IF(D94="","-",+C135+1)</f>
        <v>2060</v>
      </c>
      <c r="D136" s="480">
        <f>IF(F135+SUM(E$100:E135)=D$93,F135,D$93-SUM(E$100:E135))</f>
        <v>0</v>
      </c>
      <c r="E136" s="377">
        <f t="shared" si="17"/>
        <v>0</v>
      </c>
      <c r="F136" s="481">
        <f t="shared" si="18"/>
        <v>0</v>
      </c>
      <c r="G136" s="481">
        <f t="shared" si="19"/>
        <v>0</v>
      </c>
      <c r="H136" s="515">
        <f t="shared" si="26"/>
        <v>0</v>
      </c>
      <c r="I136" s="516">
        <f t="shared" si="21"/>
        <v>0</v>
      </c>
      <c r="J136" s="484">
        <f t="shared" si="27"/>
        <v>0</v>
      </c>
      <c r="K136" s="484"/>
      <c r="L136" s="112"/>
      <c r="M136" s="484">
        <f t="shared" si="28"/>
        <v>0</v>
      </c>
      <c r="N136" s="112"/>
      <c r="O136" s="484">
        <f t="shared" si="29"/>
        <v>0</v>
      </c>
      <c r="P136" s="484">
        <f t="shared" si="30"/>
        <v>0</v>
      </c>
    </row>
    <row r="137" spans="2:16">
      <c r="B137" t="str">
        <f t="shared" si="12"/>
        <v/>
      </c>
      <c r="C137" s="479">
        <f>IF(D94="","-",+C136+1)</f>
        <v>2061</v>
      </c>
      <c r="D137" s="480">
        <f>IF(F136+SUM(E$100:E136)=D$93,F136,D$93-SUM(E$100:E136))</f>
        <v>0</v>
      </c>
      <c r="E137" s="377">
        <f t="shared" si="17"/>
        <v>0</v>
      </c>
      <c r="F137" s="481">
        <f t="shared" si="18"/>
        <v>0</v>
      </c>
      <c r="G137" s="481">
        <f t="shared" si="19"/>
        <v>0</v>
      </c>
      <c r="H137" s="515">
        <f t="shared" si="26"/>
        <v>0</v>
      </c>
      <c r="I137" s="516">
        <f t="shared" si="21"/>
        <v>0</v>
      </c>
      <c r="J137" s="484">
        <f t="shared" si="27"/>
        <v>0</v>
      </c>
      <c r="K137" s="484"/>
      <c r="L137" s="112"/>
      <c r="M137" s="484">
        <f t="shared" si="28"/>
        <v>0</v>
      </c>
      <c r="N137" s="112"/>
      <c r="O137" s="484">
        <f t="shared" si="29"/>
        <v>0</v>
      </c>
      <c r="P137" s="484">
        <f t="shared" si="30"/>
        <v>0</v>
      </c>
    </row>
    <row r="138" spans="2:16">
      <c r="B138" t="str">
        <f t="shared" si="12"/>
        <v/>
      </c>
      <c r="C138" s="479">
        <f>IF(D94="","-",+C137+1)</f>
        <v>2062</v>
      </c>
      <c r="D138" s="480">
        <f>IF(F137+SUM(E$100:E137)=D$93,F137,D$93-SUM(E$100:E137))</f>
        <v>0</v>
      </c>
      <c r="E138" s="377">
        <f t="shared" si="17"/>
        <v>0</v>
      </c>
      <c r="F138" s="481">
        <f t="shared" si="18"/>
        <v>0</v>
      </c>
      <c r="G138" s="481">
        <f t="shared" si="19"/>
        <v>0</v>
      </c>
      <c r="H138" s="515">
        <f t="shared" si="26"/>
        <v>0</v>
      </c>
      <c r="I138" s="516">
        <f t="shared" si="21"/>
        <v>0</v>
      </c>
      <c r="J138" s="484">
        <f t="shared" si="27"/>
        <v>0</v>
      </c>
      <c r="K138" s="484"/>
      <c r="L138" s="112"/>
      <c r="M138" s="484">
        <f t="shared" si="28"/>
        <v>0</v>
      </c>
      <c r="N138" s="112"/>
      <c r="O138" s="484">
        <f t="shared" si="29"/>
        <v>0</v>
      </c>
      <c r="P138" s="484">
        <f t="shared" si="30"/>
        <v>0</v>
      </c>
    </row>
    <row r="139" spans="2:16">
      <c r="B139" t="str">
        <f t="shared" si="12"/>
        <v/>
      </c>
      <c r="C139" s="479">
        <f>IF(D94="","-",+C138+1)</f>
        <v>2063</v>
      </c>
      <c r="D139" s="480">
        <f>IF(F138+SUM(E$100:E138)=D$93,F138,D$93-SUM(E$100:E138))</f>
        <v>0</v>
      </c>
      <c r="E139" s="377">
        <f t="shared" si="17"/>
        <v>0</v>
      </c>
      <c r="F139" s="481">
        <f t="shared" si="18"/>
        <v>0</v>
      </c>
      <c r="G139" s="481">
        <f t="shared" si="19"/>
        <v>0</v>
      </c>
      <c r="H139" s="515">
        <f t="shared" si="26"/>
        <v>0</v>
      </c>
      <c r="I139" s="516">
        <f t="shared" si="21"/>
        <v>0</v>
      </c>
      <c r="J139" s="484">
        <f t="shared" si="27"/>
        <v>0</v>
      </c>
      <c r="K139" s="484"/>
      <c r="L139" s="112"/>
      <c r="M139" s="484">
        <f t="shared" si="28"/>
        <v>0</v>
      </c>
      <c r="N139" s="112"/>
      <c r="O139" s="484">
        <f t="shared" si="29"/>
        <v>0</v>
      </c>
      <c r="P139" s="484">
        <f t="shared" si="30"/>
        <v>0</v>
      </c>
    </row>
    <row r="140" spans="2:16">
      <c r="B140" t="str">
        <f t="shared" si="12"/>
        <v/>
      </c>
      <c r="C140" s="479">
        <f>IF(D94="","-",+C139+1)</f>
        <v>2064</v>
      </c>
      <c r="D140" s="480">
        <f>IF(F139+SUM(E$100:E139)=D$93,F139,D$93-SUM(E$100:E139))</f>
        <v>0</v>
      </c>
      <c r="E140" s="377">
        <f t="shared" si="17"/>
        <v>0</v>
      </c>
      <c r="F140" s="481">
        <f t="shared" si="18"/>
        <v>0</v>
      </c>
      <c r="G140" s="481">
        <f t="shared" si="19"/>
        <v>0</v>
      </c>
      <c r="H140" s="515">
        <f t="shared" si="26"/>
        <v>0</v>
      </c>
      <c r="I140" s="516">
        <f t="shared" si="21"/>
        <v>0</v>
      </c>
      <c r="J140" s="484">
        <f t="shared" si="27"/>
        <v>0</v>
      </c>
      <c r="K140" s="484"/>
      <c r="L140" s="112"/>
      <c r="M140" s="484">
        <f t="shared" si="28"/>
        <v>0</v>
      </c>
      <c r="N140" s="112"/>
      <c r="O140" s="484">
        <f t="shared" si="29"/>
        <v>0</v>
      </c>
      <c r="P140" s="484">
        <f t="shared" si="30"/>
        <v>0</v>
      </c>
    </row>
    <row r="141" spans="2:16">
      <c r="B141" t="str">
        <f t="shared" si="12"/>
        <v/>
      </c>
      <c r="C141" s="479">
        <f>IF(D94="","-",+C140+1)</f>
        <v>2065</v>
      </c>
      <c r="D141" s="480">
        <f>IF(F140+SUM(E$100:E140)=D$93,F140,D$93-SUM(E$100:E140))</f>
        <v>0</v>
      </c>
      <c r="E141" s="377">
        <f t="shared" si="17"/>
        <v>0</v>
      </c>
      <c r="F141" s="481">
        <f t="shared" si="18"/>
        <v>0</v>
      </c>
      <c r="G141" s="481">
        <f t="shared" si="19"/>
        <v>0</v>
      </c>
      <c r="H141" s="515">
        <f t="shared" si="26"/>
        <v>0</v>
      </c>
      <c r="I141" s="516">
        <f t="shared" si="21"/>
        <v>0</v>
      </c>
      <c r="J141" s="484">
        <f t="shared" si="27"/>
        <v>0</v>
      </c>
      <c r="K141" s="484"/>
      <c r="L141" s="112"/>
      <c r="M141" s="484">
        <f t="shared" si="28"/>
        <v>0</v>
      </c>
      <c r="N141" s="112"/>
      <c r="O141" s="484">
        <f t="shared" si="29"/>
        <v>0</v>
      </c>
      <c r="P141" s="484">
        <f t="shared" si="30"/>
        <v>0</v>
      </c>
    </row>
    <row r="142" spans="2:16">
      <c r="B142" t="str">
        <f t="shared" si="12"/>
        <v/>
      </c>
      <c r="C142" s="479">
        <f>IF(D94="","-",+C141+1)</f>
        <v>2066</v>
      </c>
      <c r="D142" s="480">
        <f>IF(F141+SUM(E$100:E141)=D$93,F141,D$93-SUM(E$100:E141))</f>
        <v>0</v>
      </c>
      <c r="E142" s="377">
        <f t="shared" si="17"/>
        <v>0</v>
      </c>
      <c r="F142" s="481">
        <f t="shared" si="18"/>
        <v>0</v>
      </c>
      <c r="G142" s="481">
        <f t="shared" si="19"/>
        <v>0</v>
      </c>
      <c r="H142" s="515">
        <f t="shared" si="26"/>
        <v>0</v>
      </c>
      <c r="I142" s="516">
        <f t="shared" si="21"/>
        <v>0</v>
      </c>
      <c r="J142" s="484">
        <f t="shared" si="27"/>
        <v>0</v>
      </c>
      <c r="K142" s="484"/>
      <c r="L142" s="112"/>
      <c r="M142" s="484">
        <f t="shared" si="28"/>
        <v>0</v>
      </c>
      <c r="N142" s="112"/>
      <c r="O142" s="484">
        <f t="shared" si="29"/>
        <v>0</v>
      </c>
      <c r="P142" s="484">
        <f t="shared" si="30"/>
        <v>0</v>
      </c>
    </row>
    <row r="143" spans="2:16">
      <c r="B143" t="str">
        <f t="shared" si="12"/>
        <v/>
      </c>
      <c r="C143" s="479">
        <f>IF(D94="","-",+C142+1)</f>
        <v>2067</v>
      </c>
      <c r="D143" s="480">
        <f>IF(F142+SUM(E$100:E142)=D$93,F142,D$93-SUM(E$100:E142))</f>
        <v>0</v>
      </c>
      <c r="E143" s="377">
        <f t="shared" si="17"/>
        <v>0</v>
      </c>
      <c r="F143" s="481">
        <f t="shared" si="18"/>
        <v>0</v>
      </c>
      <c r="G143" s="481">
        <f t="shared" si="19"/>
        <v>0</v>
      </c>
      <c r="H143" s="515">
        <f t="shared" si="26"/>
        <v>0</v>
      </c>
      <c r="I143" s="516">
        <f t="shared" si="21"/>
        <v>0</v>
      </c>
      <c r="J143" s="484">
        <f t="shared" si="27"/>
        <v>0</v>
      </c>
      <c r="K143" s="484"/>
      <c r="L143" s="112"/>
      <c r="M143" s="484">
        <f t="shared" si="28"/>
        <v>0</v>
      </c>
      <c r="N143" s="112"/>
      <c r="O143" s="484">
        <f t="shared" si="29"/>
        <v>0</v>
      </c>
      <c r="P143" s="484">
        <f t="shared" si="30"/>
        <v>0</v>
      </c>
    </row>
    <row r="144" spans="2:16">
      <c r="B144" t="str">
        <f t="shared" si="12"/>
        <v/>
      </c>
      <c r="C144" s="479">
        <f>IF(D94="","-",+C143+1)</f>
        <v>2068</v>
      </c>
      <c r="D144" s="480">
        <f>IF(F143+SUM(E$100:E143)=D$93,F143,D$93-SUM(E$100:E143))</f>
        <v>0</v>
      </c>
      <c r="E144" s="377">
        <f t="shared" si="17"/>
        <v>0</v>
      </c>
      <c r="F144" s="481">
        <f t="shared" si="18"/>
        <v>0</v>
      </c>
      <c r="G144" s="481">
        <f t="shared" si="19"/>
        <v>0</v>
      </c>
      <c r="H144" s="515">
        <f t="shared" si="26"/>
        <v>0</v>
      </c>
      <c r="I144" s="516">
        <f t="shared" si="21"/>
        <v>0</v>
      </c>
      <c r="J144" s="484">
        <f t="shared" si="27"/>
        <v>0</v>
      </c>
      <c r="K144" s="484"/>
      <c r="L144" s="112"/>
      <c r="M144" s="484">
        <f t="shared" si="28"/>
        <v>0</v>
      </c>
      <c r="N144" s="112"/>
      <c r="O144" s="484">
        <f t="shared" si="29"/>
        <v>0</v>
      </c>
      <c r="P144" s="484">
        <f t="shared" si="30"/>
        <v>0</v>
      </c>
    </row>
    <row r="145" spans="2:16">
      <c r="B145" t="str">
        <f t="shared" si="12"/>
        <v/>
      </c>
      <c r="C145" s="479">
        <f>IF(D94="","-",+C144+1)</f>
        <v>2069</v>
      </c>
      <c r="D145" s="480">
        <f>IF(F144+SUM(E$100:E144)=D$93,F144,D$93-SUM(E$100:E144))</f>
        <v>0</v>
      </c>
      <c r="E145" s="377">
        <f t="shared" si="17"/>
        <v>0</v>
      </c>
      <c r="F145" s="481">
        <f t="shared" si="18"/>
        <v>0</v>
      </c>
      <c r="G145" s="481">
        <f t="shared" si="19"/>
        <v>0</v>
      </c>
      <c r="H145" s="515">
        <f t="shared" si="26"/>
        <v>0</v>
      </c>
      <c r="I145" s="516">
        <f t="shared" si="21"/>
        <v>0</v>
      </c>
      <c r="J145" s="484">
        <f t="shared" si="27"/>
        <v>0</v>
      </c>
      <c r="K145" s="484"/>
      <c r="L145" s="112"/>
      <c r="M145" s="484">
        <f t="shared" si="28"/>
        <v>0</v>
      </c>
      <c r="N145" s="112"/>
      <c r="O145" s="484">
        <f t="shared" si="29"/>
        <v>0</v>
      </c>
      <c r="P145" s="484">
        <f t="shared" si="30"/>
        <v>0</v>
      </c>
    </row>
    <row r="146" spans="2:16">
      <c r="B146" t="str">
        <f t="shared" si="12"/>
        <v/>
      </c>
      <c r="C146" s="479">
        <f>IF(D94="","-",+C145+1)</f>
        <v>2070</v>
      </c>
      <c r="D146" s="480">
        <f>IF(F145+SUM(E$100:E145)=D$93,F145,D$93-SUM(E$100:E145))</f>
        <v>0</v>
      </c>
      <c r="E146" s="377">
        <f t="shared" si="17"/>
        <v>0</v>
      </c>
      <c r="F146" s="481">
        <f t="shared" si="18"/>
        <v>0</v>
      </c>
      <c r="G146" s="481">
        <f t="shared" si="19"/>
        <v>0</v>
      </c>
      <c r="H146" s="515">
        <f t="shared" si="26"/>
        <v>0</v>
      </c>
      <c r="I146" s="516">
        <f t="shared" si="21"/>
        <v>0</v>
      </c>
      <c r="J146" s="484">
        <f t="shared" si="27"/>
        <v>0</v>
      </c>
      <c r="K146" s="484"/>
      <c r="L146" s="112"/>
      <c r="M146" s="484">
        <f t="shared" si="28"/>
        <v>0</v>
      </c>
      <c r="N146" s="112"/>
      <c r="O146" s="484">
        <f t="shared" si="29"/>
        <v>0</v>
      </c>
      <c r="P146" s="484">
        <f t="shared" si="30"/>
        <v>0</v>
      </c>
    </row>
    <row r="147" spans="2:16">
      <c r="B147" t="str">
        <f t="shared" si="12"/>
        <v/>
      </c>
      <c r="C147" s="479">
        <f>IF(D94="","-",+C146+1)</f>
        <v>2071</v>
      </c>
      <c r="D147" s="480">
        <f>IF(F146+SUM(E$100:E146)=D$93,F146,D$93-SUM(E$100:E146))</f>
        <v>0</v>
      </c>
      <c r="E147" s="377">
        <f t="shared" si="17"/>
        <v>0</v>
      </c>
      <c r="F147" s="481">
        <f t="shared" si="18"/>
        <v>0</v>
      </c>
      <c r="G147" s="481">
        <f t="shared" si="19"/>
        <v>0</v>
      </c>
      <c r="H147" s="515">
        <f t="shared" si="26"/>
        <v>0</v>
      </c>
      <c r="I147" s="516">
        <f t="shared" si="21"/>
        <v>0</v>
      </c>
      <c r="J147" s="484">
        <f t="shared" si="27"/>
        <v>0</v>
      </c>
      <c r="K147" s="484"/>
      <c r="L147" s="112"/>
      <c r="M147" s="484">
        <f t="shared" si="28"/>
        <v>0</v>
      </c>
      <c r="N147" s="112"/>
      <c r="O147" s="484">
        <f t="shared" si="29"/>
        <v>0</v>
      </c>
      <c r="P147" s="484">
        <f t="shared" si="30"/>
        <v>0</v>
      </c>
    </row>
    <row r="148" spans="2:16">
      <c r="B148" t="str">
        <f t="shared" si="12"/>
        <v/>
      </c>
      <c r="C148" s="479">
        <f>IF(D94="","-",+C147+1)</f>
        <v>2072</v>
      </c>
      <c r="D148" s="480">
        <f>IF(F147+SUM(E$100:E147)=D$93,F147,D$93-SUM(E$100:E147))</f>
        <v>0</v>
      </c>
      <c r="E148" s="377">
        <f t="shared" si="17"/>
        <v>0</v>
      </c>
      <c r="F148" s="481">
        <f t="shared" si="18"/>
        <v>0</v>
      </c>
      <c r="G148" s="481">
        <f t="shared" si="19"/>
        <v>0</v>
      </c>
      <c r="H148" s="515">
        <f t="shared" si="26"/>
        <v>0</v>
      </c>
      <c r="I148" s="516">
        <f t="shared" si="21"/>
        <v>0</v>
      </c>
      <c r="J148" s="484">
        <f t="shared" si="27"/>
        <v>0</v>
      </c>
      <c r="K148" s="484"/>
      <c r="L148" s="112"/>
      <c r="M148" s="484">
        <f t="shared" si="28"/>
        <v>0</v>
      </c>
      <c r="N148" s="112"/>
      <c r="O148" s="484">
        <f t="shared" si="29"/>
        <v>0</v>
      </c>
      <c r="P148" s="484">
        <f t="shared" si="30"/>
        <v>0</v>
      </c>
    </row>
    <row r="149" spans="2:16">
      <c r="B149" t="str">
        <f t="shared" si="12"/>
        <v/>
      </c>
      <c r="C149" s="479">
        <f>IF(D94="","-",+C148+1)</f>
        <v>2073</v>
      </c>
      <c r="D149" s="480">
        <f>IF(F148+SUM(E$100:E148)=D$93,F148,D$93-SUM(E$100:E148))</f>
        <v>0</v>
      </c>
      <c r="E149" s="377">
        <f t="shared" si="17"/>
        <v>0</v>
      </c>
      <c r="F149" s="481">
        <f t="shared" si="18"/>
        <v>0</v>
      </c>
      <c r="G149" s="481">
        <f t="shared" si="19"/>
        <v>0</v>
      </c>
      <c r="H149" s="515">
        <f t="shared" si="26"/>
        <v>0</v>
      </c>
      <c r="I149" s="516">
        <f t="shared" si="21"/>
        <v>0</v>
      </c>
      <c r="J149" s="484">
        <f t="shared" si="27"/>
        <v>0</v>
      </c>
      <c r="K149" s="484"/>
      <c r="L149" s="112"/>
      <c r="M149" s="484">
        <f t="shared" si="28"/>
        <v>0</v>
      </c>
      <c r="N149" s="112"/>
      <c r="O149" s="484">
        <f t="shared" si="29"/>
        <v>0</v>
      </c>
      <c r="P149" s="484">
        <f t="shared" si="30"/>
        <v>0</v>
      </c>
    </row>
    <row r="150" spans="2:16">
      <c r="B150" t="str">
        <f t="shared" si="12"/>
        <v/>
      </c>
      <c r="C150" s="479">
        <f>IF(D94="","-",+C149+1)</f>
        <v>2074</v>
      </c>
      <c r="D150" s="480">
        <f>IF(F149+SUM(E$100:E149)=D$93,F149,D$93-SUM(E$100:E149))</f>
        <v>0</v>
      </c>
      <c r="E150" s="377">
        <f t="shared" si="17"/>
        <v>0</v>
      </c>
      <c r="F150" s="481">
        <f t="shared" si="18"/>
        <v>0</v>
      </c>
      <c r="G150" s="481">
        <f t="shared" si="19"/>
        <v>0</v>
      </c>
      <c r="H150" s="515">
        <f t="shared" si="26"/>
        <v>0</v>
      </c>
      <c r="I150" s="516">
        <f t="shared" si="21"/>
        <v>0</v>
      </c>
      <c r="J150" s="484">
        <f t="shared" si="27"/>
        <v>0</v>
      </c>
      <c r="K150" s="484"/>
      <c r="L150" s="112"/>
      <c r="M150" s="484">
        <f t="shared" si="28"/>
        <v>0</v>
      </c>
      <c r="N150" s="112"/>
      <c r="O150" s="484">
        <f t="shared" si="29"/>
        <v>0</v>
      </c>
      <c r="P150" s="484">
        <f t="shared" si="30"/>
        <v>0</v>
      </c>
    </row>
    <row r="151" spans="2:16">
      <c r="B151" t="str">
        <f t="shared" si="12"/>
        <v/>
      </c>
      <c r="C151" s="479">
        <f>IF(D94="","-",+C150+1)</f>
        <v>2075</v>
      </c>
      <c r="D151" s="480">
        <f>IF(F150+SUM(E$100:E150)=D$93,F150,D$93-SUM(E$100:E150))</f>
        <v>0</v>
      </c>
      <c r="E151" s="377">
        <f t="shared" si="17"/>
        <v>0</v>
      </c>
      <c r="F151" s="481">
        <f t="shared" si="18"/>
        <v>0</v>
      </c>
      <c r="G151" s="481">
        <f t="shared" si="19"/>
        <v>0</v>
      </c>
      <c r="H151" s="515">
        <f t="shared" si="26"/>
        <v>0</v>
      </c>
      <c r="I151" s="516">
        <f t="shared" si="21"/>
        <v>0</v>
      </c>
      <c r="J151" s="484">
        <f t="shared" si="27"/>
        <v>0</v>
      </c>
      <c r="K151" s="484"/>
      <c r="L151" s="112"/>
      <c r="M151" s="484">
        <f t="shared" si="28"/>
        <v>0</v>
      </c>
      <c r="N151" s="112"/>
      <c r="O151" s="484">
        <f t="shared" si="29"/>
        <v>0</v>
      </c>
      <c r="P151" s="484">
        <f t="shared" si="30"/>
        <v>0</v>
      </c>
    </row>
    <row r="152" spans="2:16">
      <c r="B152" t="str">
        <f t="shared" si="12"/>
        <v/>
      </c>
      <c r="C152" s="479">
        <f>IF(D94="","-",+C151+1)</f>
        <v>2076</v>
      </c>
      <c r="D152" s="480">
        <f>IF(F151+SUM(E$100:E151)=D$93,F151,D$93-SUM(E$100:E151))</f>
        <v>0</v>
      </c>
      <c r="E152" s="377">
        <f t="shared" si="17"/>
        <v>0</v>
      </c>
      <c r="F152" s="481">
        <f t="shared" si="18"/>
        <v>0</v>
      </c>
      <c r="G152" s="481">
        <f t="shared" si="19"/>
        <v>0</v>
      </c>
      <c r="H152" s="515">
        <f t="shared" si="26"/>
        <v>0</v>
      </c>
      <c r="I152" s="516">
        <f t="shared" si="21"/>
        <v>0</v>
      </c>
      <c r="J152" s="484">
        <f t="shared" si="27"/>
        <v>0</v>
      </c>
      <c r="K152" s="484"/>
      <c r="L152" s="112"/>
      <c r="M152" s="484">
        <f t="shared" si="28"/>
        <v>0</v>
      </c>
      <c r="N152" s="112"/>
      <c r="O152" s="484">
        <f t="shared" si="29"/>
        <v>0</v>
      </c>
      <c r="P152" s="484">
        <f t="shared" si="30"/>
        <v>0</v>
      </c>
    </row>
    <row r="153" spans="2:16">
      <c r="B153" t="str">
        <f t="shared" si="12"/>
        <v/>
      </c>
      <c r="C153" s="479">
        <f>IF(D94="","-",+C152+1)</f>
        <v>2077</v>
      </c>
      <c r="D153" s="480">
        <f>IF(F152+SUM(E$100:E152)=D$93,F152,D$93-SUM(E$100:E152))</f>
        <v>0</v>
      </c>
      <c r="E153" s="377">
        <f t="shared" si="17"/>
        <v>0</v>
      </c>
      <c r="F153" s="481">
        <f t="shared" si="18"/>
        <v>0</v>
      </c>
      <c r="G153" s="481">
        <f t="shared" si="19"/>
        <v>0</v>
      </c>
      <c r="H153" s="515">
        <f t="shared" si="26"/>
        <v>0</v>
      </c>
      <c r="I153" s="516">
        <f t="shared" si="21"/>
        <v>0</v>
      </c>
      <c r="J153" s="484">
        <f t="shared" si="27"/>
        <v>0</v>
      </c>
      <c r="K153" s="484"/>
      <c r="L153" s="112"/>
      <c r="M153" s="484">
        <f t="shared" si="28"/>
        <v>0</v>
      </c>
      <c r="N153" s="112"/>
      <c r="O153" s="484">
        <f t="shared" si="29"/>
        <v>0</v>
      </c>
      <c r="P153" s="484">
        <f t="shared" si="30"/>
        <v>0</v>
      </c>
    </row>
    <row r="154" spans="2:16">
      <c r="B154" t="str">
        <f t="shared" si="12"/>
        <v/>
      </c>
      <c r="C154" s="479">
        <f>IF(D94="","-",+C153+1)</f>
        <v>2078</v>
      </c>
      <c r="D154" s="480">
        <f>IF(F153+SUM(E$100:E153)=D$93,F153,D$93-SUM(E$100:E153))</f>
        <v>0</v>
      </c>
      <c r="E154" s="377">
        <f t="shared" si="17"/>
        <v>0</v>
      </c>
      <c r="F154" s="481">
        <f t="shared" si="18"/>
        <v>0</v>
      </c>
      <c r="G154" s="481">
        <f t="shared" si="19"/>
        <v>0</v>
      </c>
      <c r="H154" s="515">
        <f t="shared" si="26"/>
        <v>0</v>
      </c>
      <c r="I154" s="516">
        <f t="shared" si="21"/>
        <v>0</v>
      </c>
      <c r="J154" s="484">
        <f t="shared" si="27"/>
        <v>0</v>
      </c>
      <c r="K154" s="484"/>
      <c r="L154" s="112"/>
      <c r="M154" s="484">
        <f t="shared" si="28"/>
        <v>0</v>
      </c>
      <c r="N154" s="112"/>
      <c r="O154" s="484">
        <f t="shared" si="29"/>
        <v>0</v>
      </c>
      <c r="P154" s="484">
        <f t="shared" si="30"/>
        <v>0</v>
      </c>
    </row>
    <row r="155" spans="2:16" ht="13.5" thickBot="1">
      <c r="B155" t="str">
        <f t="shared" si="12"/>
        <v/>
      </c>
      <c r="C155" s="487">
        <f>IF(D94="","-",+C154+1)</f>
        <v>2079</v>
      </c>
      <c r="D155" s="509">
        <f>IF(F154+SUM(E$100:E154)=D$93,F154,D$93-SUM(E$100:E154))</f>
        <v>0</v>
      </c>
      <c r="E155" s="389">
        <f t="shared" si="17"/>
        <v>0</v>
      </c>
      <c r="F155" s="488">
        <f t="shared" si="18"/>
        <v>0</v>
      </c>
      <c r="G155" s="488">
        <f t="shared" si="19"/>
        <v>0</v>
      </c>
      <c r="H155" s="515">
        <f t="shared" si="26"/>
        <v>0</v>
      </c>
      <c r="I155" s="519">
        <f t="shared" si="21"/>
        <v>0</v>
      </c>
      <c r="J155" s="491">
        <f t="shared" si="27"/>
        <v>0</v>
      </c>
      <c r="K155" s="484"/>
      <c r="L155" s="113"/>
      <c r="M155" s="491">
        <f t="shared" si="28"/>
        <v>0</v>
      </c>
      <c r="N155" s="113"/>
      <c r="O155" s="491">
        <f t="shared" si="29"/>
        <v>0</v>
      </c>
      <c r="P155" s="491">
        <f t="shared" si="30"/>
        <v>0</v>
      </c>
    </row>
    <row r="156" spans="2:16">
      <c r="C156" s="480" t="s">
        <v>75</v>
      </c>
      <c r="D156" s="468"/>
      <c r="E156" s="468">
        <f>SUM(E100:E155)</f>
        <v>3391426.53</v>
      </c>
      <c r="F156" s="468"/>
      <c r="G156" s="468"/>
      <c r="H156" s="468">
        <f>SUM(H100:H155)</f>
        <v>7671455.9001490567</v>
      </c>
      <c r="I156" s="468">
        <f>SUM(I100:I155)</f>
        <v>7671455.9001490567</v>
      </c>
      <c r="J156" s="468">
        <f>SUM(J100:J155)</f>
        <v>0</v>
      </c>
      <c r="K156" s="468"/>
      <c r="L156" s="468"/>
      <c r="M156" s="468"/>
      <c r="N156" s="468"/>
      <c r="O156" s="468"/>
      <c r="P156" s="465"/>
    </row>
    <row r="157" spans="2:16">
      <c r="C157" t="s">
        <v>90</v>
      </c>
      <c r="D157" s="466"/>
      <c r="E157" s="465"/>
      <c r="F157" s="465"/>
      <c r="G157" s="465"/>
      <c r="H157" s="465"/>
      <c r="I157" s="467"/>
      <c r="J157" s="467"/>
      <c r="K157" s="468"/>
      <c r="L157" s="467"/>
      <c r="M157" s="467"/>
      <c r="N157" s="467"/>
      <c r="O157" s="467"/>
      <c r="P157" s="465"/>
    </row>
    <row r="158" spans="2:16">
      <c r="C158" s="83"/>
      <c r="D158" s="466"/>
      <c r="E158" s="465"/>
      <c r="F158" s="465"/>
      <c r="G158" s="465"/>
      <c r="H158" s="465"/>
      <c r="I158" s="467"/>
      <c r="J158" s="467"/>
      <c r="K158" s="468"/>
      <c r="L158" s="467"/>
      <c r="M158" s="467"/>
      <c r="N158" s="467"/>
      <c r="O158" s="467"/>
      <c r="P158" s="465"/>
    </row>
    <row r="159" spans="2:16">
      <c r="C159" s="97" t="s">
        <v>130</v>
      </c>
      <c r="D159" s="466"/>
      <c r="E159" s="465"/>
      <c r="F159" s="465"/>
      <c r="G159" s="465"/>
      <c r="H159" s="465"/>
      <c r="I159" s="467"/>
      <c r="J159" s="467"/>
      <c r="K159" s="468"/>
      <c r="L159" s="467"/>
      <c r="M159" s="467"/>
      <c r="N159" s="467"/>
      <c r="O159" s="467"/>
      <c r="P159" s="465"/>
    </row>
    <row r="160" spans="2:16">
      <c r="C160" s="25" t="s">
        <v>76</v>
      </c>
      <c r="D160" s="480"/>
      <c r="E160" s="480"/>
      <c r="F160" s="480"/>
      <c r="G160" s="480"/>
      <c r="H160" s="468"/>
      <c r="I160" s="468"/>
      <c r="J160" s="492"/>
      <c r="K160" s="492"/>
      <c r="L160" s="492"/>
      <c r="M160" s="492"/>
      <c r="N160" s="492"/>
      <c r="O160" s="492"/>
      <c r="P160" s="465"/>
    </row>
    <row r="161" spans="3:16">
      <c r="C161" s="84" t="s">
        <v>77</v>
      </c>
      <c r="D161" s="480"/>
      <c r="E161" s="480"/>
      <c r="F161" s="480"/>
      <c r="G161" s="480"/>
      <c r="H161" s="468"/>
      <c r="I161" s="468"/>
      <c r="J161" s="492"/>
      <c r="K161" s="492"/>
      <c r="L161" s="492"/>
      <c r="M161" s="492"/>
      <c r="N161" s="492"/>
      <c r="O161" s="492"/>
      <c r="P161" s="465"/>
    </row>
    <row r="162" spans="3:16">
      <c r="C162" s="84"/>
      <c r="D162" s="480"/>
      <c r="E162" s="480"/>
      <c r="F162" s="480"/>
      <c r="G162" s="480"/>
      <c r="H162" s="468"/>
      <c r="I162" s="468"/>
      <c r="J162" s="492"/>
      <c r="K162" s="492"/>
      <c r="L162" s="492"/>
      <c r="M162" s="492"/>
      <c r="N162" s="492"/>
      <c r="O162" s="492"/>
      <c r="P162" s="465"/>
    </row>
    <row r="163" spans="3:16" ht="18">
      <c r="C163" s="84"/>
      <c r="D163" s="480"/>
      <c r="E163" s="480"/>
      <c r="F163" s="480"/>
      <c r="G163" s="480"/>
      <c r="H163" s="468"/>
      <c r="I163" s="468"/>
      <c r="J163" s="492"/>
      <c r="K163" s="492"/>
      <c r="L163" s="492"/>
      <c r="M163" s="492"/>
      <c r="N163" s="492"/>
      <c r="P163" s="95" t="s">
        <v>129</v>
      </c>
    </row>
  </sheetData>
  <conditionalFormatting sqref="C17:C73">
    <cfRule type="cellIs" dxfId="7" priority="1" stopIfTrue="1" operator="equal">
      <formula>$I$10</formula>
    </cfRule>
  </conditionalFormatting>
  <conditionalFormatting sqref="C100:C155">
    <cfRule type="cellIs" dxfId="6" priority="2" stopIfTrue="1" operator="equal">
      <formula>$J$93</formula>
    </cfRule>
  </conditionalFormatting>
  <pageMargins left="0.5" right="0.25" top="1" bottom="0.35" header="0.25" footer="0.5"/>
  <pageSetup scale="47" orientation="landscape"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B00536-0E89-46CA-9C55-87D6D072AEE2}">
  <dimension ref="A1:P163"/>
  <sheetViews>
    <sheetView topLeftCell="A59" zoomScale="80" zoomScaleNormal="80" workbookViewId="0">
      <selection activeCell="D94" sqref="D94"/>
    </sheetView>
  </sheetViews>
  <sheetFormatPr defaultRowHeight="12.75"/>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s>
  <sheetData>
    <row r="1" spans="1:16" ht="20.25">
      <c r="A1" s="93" t="s">
        <v>189</v>
      </c>
      <c r="B1" s="465"/>
      <c r="C1" s="465"/>
      <c r="D1" s="466"/>
      <c r="E1" s="465"/>
      <c r="F1" s="280"/>
      <c r="G1" s="465"/>
      <c r="H1" s="467"/>
      <c r="K1" s="12"/>
      <c r="L1" s="12"/>
      <c r="M1" s="12"/>
      <c r="P1" s="98" t="str">
        <f ca="1">"OKT Project "&amp;RIGHT(MID(CELL("filename",$A$1),FIND("]",CELL("filename",$A$1))+1,256),2)&amp;" of "&amp;COUNT('OKT.001:OKT.xyz - blank'!$P$3)-1</f>
        <v>OKT Project 25 of 26</v>
      </c>
    </row>
    <row r="2" spans="1:16" ht="18">
      <c r="B2" s="465"/>
      <c r="C2" s="465"/>
      <c r="D2" s="466"/>
      <c r="E2" s="465"/>
      <c r="F2" s="465"/>
      <c r="G2" s="465"/>
      <c r="H2" s="467"/>
      <c r="I2" s="465"/>
      <c r="J2" s="465"/>
      <c r="K2" s="465"/>
      <c r="L2" s="465"/>
      <c r="M2" s="465"/>
      <c r="N2" s="465"/>
      <c r="P2" s="99" t="s">
        <v>131</v>
      </c>
    </row>
    <row r="3" spans="1:16" ht="18.75">
      <c r="B3" s="4" t="s">
        <v>42</v>
      </c>
      <c r="C3" s="9" t="s">
        <v>43</v>
      </c>
      <c r="D3" s="466"/>
      <c r="E3" s="465"/>
      <c r="F3" s="465"/>
      <c r="G3" s="465"/>
      <c r="H3" s="467"/>
      <c r="I3" s="467"/>
      <c r="J3" s="468"/>
      <c r="K3" s="467"/>
      <c r="L3" s="467"/>
      <c r="M3" s="467"/>
      <c r="N3" s="467"/>
      <c r="O3" s="465"/>
      <c r="P3" s="91">
        <v>1</v>
      </c>
    </row>
    <row r="4" spans="1:16" ht="15.75" thickBot="1">
      <c r="C4" s="8"/>
      <c r="D4" s="466"/>
      <c r="E4" s="465"/>
      <c r="F4" s="465"/>
      <c r="G4" s="465"/>
      <c r="H4" s="467"/>
      <c r="I4" s="467"/>
      <c r="J4" s="468"/>
      <c r="K4" s="467"/>
      <c r="L4" s="467"/>
      <c r="M4" s="467"/>
      <c r="N4" s="467"/>
      <c r="O4" s="465"/>
      <c r="P4" s="465"/>
    </row>
    <row r="5" spans="1:16" ht="15">
      <c r="C5" s="14" t="s">
        <v>44</v>
      </c>
      <c r="D5" s="466"/>
      <c r="E5" s="465"/>
      <c r="F5" s="465"/>
      <c r="G5" s="15"/>
      <c r="H5" s="465" t="s">
        <v>45</v>
      </c>
      <c r="I5" s="465"/>
      <c r="J5" s="465"/>
      <c r="K5" s="16" t="s">
        <v>242</v>
      </c>
      <c r="L5" s="17"/>
      <c r="M5" s="469"/>
      <c r="N5" s="19">
        <f>VLOOKUP(I10,C17:I73,5)</f>
        <v>264116.49895153625</v>
      </c>
      <c r="P5" s="465"/>
    </row>
    <row r="6" spans="1:16" ht="15.75">
      <c r="C6" s="6"/>
      <c r="D6" s="466"/>
      <c r="E6" s="465"/>
      <c r="F6" s="465"/>
      <c r="G6" s="465"/>
      <c r="H6" s="20"/>
      <c r="I6" s="20"/>
      <c r="J6" s="21"/>
      <c r="K6" s="22" t="s">
        <v>243</v>
      </c>
      <c r="L6" s="23"/>
      <c r="M6" s="465"/>
      <c r="N6" s="24">
        <f>VLOOKUP(I10,C17:I73,6)</f>
        <v>264116.49895153625</v>
      </c>
      <c r="O6" s="465"/>
      <c r="P6" s="465"/>
    </row>
    <row r="7" spans="1:16" ht="13.5" thickBot="1">
      <c r="C7" s="25" t="s">
        <v>46</v>
      </c>
      <c r="D7" s="524" t="s">
        <v>308</v>
      </c>
      <c r="E7" s="465"/>
      <c r="F7" s="465"/>
      <c r="G7" s="465"/>
      <c r="H7" s="467"/>
      <c r="I7" s="467"/>
      <c r="J7" s="468"/>
      <c r="K7" s="26" t="s">
        <v>47</v>
      </c>
      <c r="L7" s="470"/>
      <c r="M7" s="470"/>
      <c r="N7" s="520">
        <f>+N6-N5</f>
        <v>0</v>
      </c>
      <c r="O7" s="465"/>
      <c r="P7" s="465"/>
    </row>
    <row r="8" spans="1:16" ht="13.5" thickBot="1">
      <c r="C8" s="29"/>
      <c r="D8" s="83"/>
      <c r="E8" s="472"/>
      <c r="F8" s="472"/>
      <c r="G8" s="472"/>
      <c r="H8" s="472"/>
      <c r="I8" s="472"/>
      <c r="J8" s="472"/>
      <c r="K8" s="472"/>
      <c r="L8" s="472"/>
      <c r="M8" s="472"/>
      <c r="N8" s="472"/>
      <c r="O8" s="472"/>
      <c r="P8" s="465"/>
    </row>
    <row r="9" spans="1:16" ht="13.5" thickBot="1">
      <c r="C9" s="30" t="s">
        <v>48</v>
      </c>
      <c r="D9" s="89" t="s">
        <v>316</v>
      </c>
      <c r="E9" s="473" t="s">
        <v>299</v>
      </c>
      <c r="F9" s="31">
        <v>81561</v>
      </c>
      <c r="G9" s="31"/>
      <c r="H9" s="31"/>
      <c r="I9" s="32"/>
      <c r="J9" s="33"/>
      <c r="P9" s="465"/>
    </row>
    <row r="10" spans="1:16">
      <c r="C10" s="474" t="s">
        <v>49</v>
      </c>
      <c r="D10" s="35">
        <v>3621116</v>
      </c>
      <c r="E10" s="465" t="s">
        <v>50</v>
      </c>
      <c r="G10" s="466"/>
      <c r="H10" s="466"/>
      <c r="I10" s="36">
        <v>2025</v>
      </c>
      <c r="J10" s="33"/>
      <c r="K10" s="468" t="s">
        <v>51</v>
      </c>
      <c r="O10" s="465"/>
      <c r="P10" s="465"/>
    </row>
    <row r="11" spans="1:16">
      <c r="C11" s="474" t="s">
        <v>52</v>
      </c>
      <c r="D11" s="37">
        <v>2025</v>
      </c>
      <c r="E11" s="474" t="s">
        <v>53</v>
      </c>
      <c r="F11" s="466"/>
      <c r="I11" s="475">
        <v>0</v>
      </c>
      <c r="J11" s="476"/>
      <c r="K11" t="str">
        <f>"          INPUT PROJECTED ARR (WITH &amp; WITHOUT INCENTIVES) FROM EACH PRIOR YEAR"</f>
        <v xml:space="preserve">          INPUT PROJECTED ARR (WITH &amp; WITHOUT INCENTIVES) FROM EACH PRIOR YEAR</v>
      </c>
      <c r="O11" s="465"/>
      <c r="P11" s="465"/>
    </row>
    <row r="12" spans="1:16">
      <c r="C12" s="474" t="s">
        <v>54</v>
      </c>
      <c r="D12" s="35">
        <v>6</v>
      </c>
      <c r="E12" s="474" t="s">
        <v>55</v>
      </c>
      <c r="F12" s="466"/>
      <c r="I12" s="477">
        <v>0.11475877389767174</v>
      </c>
      <c r="J12" s="280"/>
      <c r="K12" t="s">
        <v>56</v>
      </c>
      <c r="O12" s="465"/>
      <c r="P12" s="465"/>
    </row>
    <row r="13" spans="1:16">
      <c r="C13" s="474" t="s">
        <v>57</v>
      </c>
      <c r="D13" s="475">
        <v>30</v>
      </c>
      <c r="E13" s="474" t="s">
        <v>58</v>
      </c>
      <c r="F13" s="466"/>
      <c r="I13" s="477">
        <v>0.11475877389767174</v>
      </c>
      <c r="J13" s="280"/>
      <c r="K13" s="468" t="s">
        <v>59</v>
      </c>
      <c r="L13" s="280"/>
      <c r="M13" s="280"/>
      <c r="N13" s="280"/>
      <c r="O13" s="465"/>
      <c r="P13" s="465"/>
    </row>
    <row r="14" spans="1:16" ht="13.5" thickBot="1">
      <c r="C14" s="474" t="s">
        <v>60</v>
      </c>
      <c r="D14" s="37" t="s">
        <v>61</v>
      </c>
      <c r="E14" s="465" t="s">
        <v>62</v>
      </c>
      <c r="F14" s="466"/>
      <c r="I14" s="478">
        <f>IF(D10=0,0,D10/D13)</f>
        <v>120703.86666666667</v>
      </c>
      <c r="J14" s="468"/>
      <c r="K14" s="468"/>
      <c r="L14" s="468"/>
      <c r="M14" s="468"/>
      <c r="N14" s="468"/>
      <c r="O14" s="465"/>
      <c r="P14" s="465"/>
    </row>
    <row r="15" spans="1:16" ht="38.25">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465"/>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465"/>
    </row>
    <row r="17" spans="2:16">
      <c r="B17" t="str">
        <f t="shared" ref="B17:B71" si="0">IF(D17=F16,"","IU")</f>
        <v>IU</v>
      </c>
      <c r="C17" s="479">
        <f>IF(D11= "","-",D11)</f>
        <v>2025</v>
      </c>
      <c r="D17" s="112">
        <v>0</v>
      </c>
      <c r="E17" s="112">
        <v>60351.926742422147</v>
      </c>
      <c r="F17" s="112">
        <v>3560763.6778029068</v>
      </c>
      <c r="G17" s="112">
        <v>264116.49895153625</v>
      </c>
      <c r="H17" s="112">
        <v>264116.49895153625</v>
      </c>
      <c r="I17" s="482">
        <f t="shared" ref="I17:I71" si="1">H17-G17</f>
        <v>0</v>
      </c>
      <c r="J17" s="482"/>
      <c r="K17" s="114">
        <f>+G17</f>
        <v>264116.49895153625</v>
      </c>
      <c r="L17" s="52">
        <f t="shared" ref="L17" si="2">IF(K17&lt;&gt;0,+G17-K17,0)</f>
        <v>0</v>
      </c>
      <c r="M17" s="114">
        <f>+H17</f>
        <v>264116.49895153625</v>
      </c>
      <c r="N17" s="483">
        <f t="shared" ref="N17" si="3">IF(M17&lt;&gt;0,+H17-M17,0)</f>
        <v>0</v>
      </c>
      <c r="O17" s="484">
        <f t="shared" ref="O17" si="4">+N17-L17</f>
        <v>0</v>
      </c>
      <c r="P17" s="465"/>
    </row>
    <row r="18" spans="2:16">
      <c r="B18" t="str">
        <f t="shared" si="0"/>
        <v>IU</v>
      </c>
      <c r="C18" s="479">
        <f>IF(D11="","-",+C17+1)</f>
        <v>2026</v>
      </c>
      <c r="D18" s="481">
        <f>IF(F17+SUM(E$17:E17)=D$10,F17,D$10-SUM(E$17:E17))</f>
        <v>3560764.0732575781</v>
      </c>
      <c r="E18" s="55">
        <f t="shared" ref="E18" si="5">IF(+I$14&lt;F17,I$14,D18)</f>
        <v>120703.86666666667</v>
      </c>
      <c r="F18" s="481">
        <f t="shared" ref="F18" si="6">+D18-E18</f>
        <v>3440060.2065909114</v>
      </c>
      <c r="G18" s="485">
        <f t="shared" ref="G18" si="7">(D18+F18)/2*I$12+E18</f>
        <v>522406.87198089843</v>
      </c>
      <c r="H18" s="478">
        <f t="shared" ref="H18" si="8">+(D18+F18)/2*I$13+E18</f>
        <v>522406.87198089843</v>
      </c>
      <c r="I18" s="482">
        <f t="shared" si="1"/>
        <v>0</v>
      </c>
      <c r="J18" s="482"/>
      <c r="K18" s="112"/>
      <c r="L18" s="484">
        <f t="shared" ref="L18:L71" si="9">IF(K18&lt;&gt;0,+G18-K18,0)</f>
        <v>0</v>
      </c>
      <c r="M18" s="112"/>
      <c r="N18" s="484">
        <f t="shared" ref="N18:N71" si="10">IF(M18&lt;&gt;0,+H18-M18,0)</f>
        <v>0</v>
      </c>
      <c r="O18" s="484">
        <f t="shared" ref="O18:O71" si="11">+N18-L18</f>
        <v>0</v>
      </c>
      <c r="P18" s="465"/>
    </row>
    <row r="19" spans="2:16">
      <c r="B19" t="str">
        <f t="shared" si="0"/>
        <v/>
      </c>
      <c r="C19" s="479">
        <f>IF(D11="","-",+C18+1)</f>
        <v>2027</v>
      </c>
      <c r="D19" s="481">
        <f>IF(F18+SUM(E$17:E18)=D$10,F18,D$10-SUM(E$17:E18))</f>
        <v>3440060.2065909114</v>
      </c>
      <c r="E19" s="55">
        <f t="shared" ref="E19:E71" si="12">IF(+I$14&lt;F18,I$14,D19)</f>
        <v>120703.86666666667</v>
      </c>
      <c r="F19" s="481">
        <f t="shared" ref="F19:F71" si="13">+D19-E19</f>
        <v>3319356.3399242447</v>
      </c>
      <c r="G19" s="485">
        <f t="shared" ref="G19:G71" si="14">(D19+F19)/2*I$12+E19</f>
        <v>508555.04423752357</v>
      </c>
      <c r="H19" s="478">
        <f t="shared" ref="H19:H71" si="15">+(D19+F19)/2*I$13+E19</f>
        <v>508555.04423752357</v>
      </c>
      <c r="I19" s="482">
        <f t="shared" si="1"/>
        <v>0</v>
      </c>
      <c r="J19" s="482"/>
      <c r="K19" s="112"/>
      <c r="L19" s="484">
        <f t="shared" si="9"/>
        <v>0</v>
      </c>
      <c r="M19" s="112"/>
      <c r="N19" s="484">
        <f t="shared" si="10"/>
        <v>0</v>
      </c>
      <c r="O19" s="484">
        <f t="shared" si="11"/>
        <v>0</v>
      </c>
      <c r="P19" s="465"/>
    </row>
    <row r="20" spans="2:16">
      <c r="B20" t="str">
        <f t="shared" si="0"/>
        <v/>
      </c>
      <c r="C20" s="479">
        <f>IF(D11="","-",+C19+1)</f>
        <v>2028</v>
      </c>
      <c r="D20" s="481">
        <f>IF(F19+SUM(E$17:E19)=D$10,F19,D$10-SUM(E$17:E19))</f>
        <v>3319356.3399242447</v>
      </c>
      <c r="E20" s="55">
        <f t="shared" si="12"/>
        <v>120703.86666666667</v>
      </c>
      <c r="F20" s="481">
        <f t="shared" si="13"/>
        <v>3198652.473257578</v>
      </c>
      <c r="G20" s="485">
        <f t="shared" si="14"/>
        <v>494703.21649414895</v>
      </c>
      <c r="H20" s="478">
        <f t="shared" si="15"/>
        <v>494703.21649414895</v>
      </c>
      <c r="I20" s="482">
        <f t="shared" si="1"/>
        <v>0</v>
      </c>
      <c r="J20" s="482"/>
      <c r="K20" s="112"/>
      <c r="L20" s="484">
        <f t="shared" si="9"/>
        <v>0</v>
      </c>
      <c r="M20" s="112"/>
      <c r="N20" s="484">
        <f t="shared" si="10"/>
        <v>0</v>
      </c>
      <c r="O20" s="484">
        <f t="shared" si="11"/>
        <v>0</v>
      </c>
      <c r="P20" s="465"/>
    </row>
    <row r="21" spans="2:16">
      <c r="B21" t="str">
        <f t="shared" si="0"/>
        <v/>
      </c>
      <c r="C21" s="479">
        <f>IF(D11="","-",+C20+1)</f>
        <v>2029</v>
      </c>
      <c r="D21" s="481">
        <f>IF(F20+SUM(E$17:E20)=D$10,F20,D$10-SUM(E$17:E20))</f>
        <v>3198652.473257578</v>
      </c>
      <c r="E21" s="55">
        <f t="shared" si="12"/>
        <v>120703.86666666667</v>
      </c>
      <c r="F21" s="481">
        <f t="shared" si="13"/>
        <v>3077948.6065909113</v>
      </c>
      <c r="G21" s="485">
        <f t="shared" si="14"/>
        <v>480851.3887507742</v>
      </c>
      <c r="H21" s="478">
        <f t="shared" si="15"/>
        <v>480851.3887507742</v>
      </c>
      <c r="I21" s="482">
        <f t="shared" si="1"/>
        <v>0</v>
      </c>
      <c r="J21" s="482"/>
      <c r="K21" s="112"/>
      <c r="L21" s="484">
        <f t="shared" si="9"/>
        <v>0</v>
      </c>
      <c r="M21" s="112"/>
      <c r="N21" s="484">
        <f t="shared" si="10"/>
        <v>0</v>
      </c>
      <c r="O21" s="484">
        <f t="shared" si="11"/>
        <v>0</v>
      </c>
      <c r="P21" s="465"/>
    </row>
    <row r="22" spans="2:16">
      <c r="B22" t="str">
        <f t="shared" si="0"/>
        <v/>
      </c>
      <c r="C22" s="479">
        <f>IF(D11="","-",+C21+1)</f>
        <v>2030</v>
      </c>
      <c r="D22" s="481">
        <f>IF(F21+SUM(E$17:E21)=D$10,F21,D$10-SUM(E$17:E21))</f>
        <v>3077948.6065909113</v>
      </c>
      <c r="E22" s="55">
        <f t="shared" si="12"/>
        <v>120703.86666666667</v>
      </c>
      <c r="F22" s="481">
        <f t="shared" si="13"/>
        <v>2957244.7399242446</v>
      </c>
      <c r="G22" s="485">
        <f t="shared" si="14"/>
        <v>466999.56100739946</v>
      </c>
      <c r="H22" s="478">
        <f t="shared" si="15"/>
        <v>466999.56100739946</v>
      </c>
      <c r="I22" s="482">
        <f t="shared" si="1"/>
        <v>0</v>
      </c>
      <c r="J22" s="482"/>
      <c r="K22" s="112"/>
      <c r="L22" s="484">
        <f t="shared" si="9"/>
        <v>0</v>
      </c>
      <c r="M22" s="112"/>
      <c r="N22" s="484">
        <f t="shared" si="10"/>
        <v>0</v>
      </c>
      <c r="O22" s="484">
        <f t="shared" si="11"/>
        <v>0</v>
      </c>
      <c r="P22" s="465"/>
    </row>
    <row r="23" spans="2:16">
      <c r="B23" t="str">
        <f t="shared" si="0"/>
        <v/>
      </c>
      <c r="C23" s="479">
        <f>IF(D11="","-",+C22+1)</f>
        <v>2031</v>
      </c>
      <c r="D23" s="481">
        <f>IF(F22+SUM(E$17:E22)=D$10,F22,D$10-SUM(E$17:E22))</f>
        <v>2957244.7399242446</v>
      </c>
      <c r="E23" s="55">
        <f t="shared" si="12"/>
        <v>120703.86666666667</v>
      </c>
      <c r="F23" s="481">
        <f t="shared" si="13"/>
        <v>2836540.8732575779</v>
      </c>
      <c r="G23" s="485">
        <f t="shared" si="14"/>
        <v>453147.73326402472</v>
      </c>
      <c r="H23" s="478">
        <f t="shared" si="15"/>
        <v>453147.73326402472</v>
      </c>
      <c r="I23" s="482">
        <f t="shared" si="1"/>
        <v>0</v>
      </c>
      <c r="J23" s="482"/>
      <c r="K23" s="112"/>
      <c r="L23" s="484">
        <f t="shared" si="9"/>
        <v>0</v>
      </c>
      <c r="M23" s="112"/>
      <c r="N23" s="484">
        <f t="shared" si="10"/>
        <v>0</v>
      </c>
      <c r="O23" s="484">
        <f t="shared" si="11"/>
        <v>0</v>
      </c>
      <c r="P23" s="465"/>
    </row>
    <row r="24" spans="2:16">
      <c r="B24" t="str">
        <f t="shared" si="0"/>
        <v/>
      </c>
      <c r="C24" s="479">
        <f>IF(D11="","-",+C23+1)</f>
        <v>2032</v>
      </c>
      <c r="D24" s="481">
        <f>IF(F23+SUM(E$17:E23)=D$10,F23,D$10-SUM(E$17:E23))</f>
        <v>2836540.8732575779</v>
      </c>
      <c r="E24" s="55">
        <f t="shared" si="12"/>
        <v>120703.86666666667</v>
      </c>
      <c r="F24" s="481">
        <f t="shared" si="13"/>
        <v>2715837.0065909112</v>
      </c>
      <c r="G24" s="485">
        <f t="shared" si="14"/>
        <v>439295.90552065009</v>
      </c>
      <c r="H24" s="478">
        <f t="shared" si="15"/>
        <v>439295.90552065009</v>
      </c>
      <c r="I24" s="482">
        <f t="shared" si="1"/>
        <v>0</v>
      </c>
      <c r="J24" s="482"/>
      <c r="K24" s="112"/>
      <c r="L24" s="484">
        <f t="shared" si="9"/>
        <v>0</v>
      </c>
      <c r="M24" s="112"/>
      <c r="N24" s="484">
        <f t="shared" si="10"/>
        <v>0</v>
      </c>
      <c r="O24" s="484">
        <f t="shared" si="11"/>
        <v>0</v>
      </c>
      <c r="P24" s="465"/>
    </row>
    <row r="25" spans="2:16">
      <c r="B25" t="str">
        <f t="shared" si="0"/>
        <v/>
      </c>
      <c r="C25" s="479">
        <f>IF(D11="","-",+C24+1)</f>
        <v>2033</v>
      </c>
      <c r="D25" s="481">
        <f>IF(F24+SUM(E$17:E24)=D$10,F24,D$10-SUM(E$17:E24))</f>
        <v>2715837.0065909112</v>
      </c>
      <c r="E25" s="55">
        <f t="shared" si="12"/>
        <v>120703.86666666667</v>
      </c>
      <c r="F25" s="481">
        <f t="shared" si="13"/>
        <v>2595133.1399242445</v>
      </c>
      <c r="G25" s="485">
        <f t="shared" si="14"/>
        <v>425444.07777727523</v>
      </c>
      <c r="H25" s="478">
        <f t="shared" si="15"/>
        <v>425444.07777727523</v>
      </c>
      <c r="I25" s="482">
        <f t="shared" si="1"/>
        <v>0</v>
      </c>
      <c r="J25" s="482"/>
      <c r="K25" s="112"/>
      <c r="L25" s="484">
        <f t="shared" si="9"/>
        <v>0</v>
      </c>
      <c r="M25" s="112"/>
      <c r="N25" s="484">
        <f t="shared" si="10"/>
        <v>0</v>
      </c>
      <c r="O25" s="484">
        <f t="shared" si="11"/>
        <v>0</v>
      </c>
      <c r="P25" s="465"/>
    </row>
    <row r="26" spans="2:16">
      <c r="B26" t="str">
        <f t="shared" si="0"/>
        <v/>
      </c>
      <c r="C26" s="479">
        <f>IF(D11="","-",+C25+1)</f>
        <v>2034</v>
      </c>
      <c r="D26" s="481">
        <f>IF(F25+SUM(E$17:E25)=D$10,F25,D$10-SUM(E$17:E25))</f>
        <v>2595133.1399242445</v>
      </c>
      <c r="E26" s="55">
        <f t="shared" si="12"/>
        <v>120703.86666666667</v>
      </c>
      <c r="F26" s="481">
        <f t="shared" si="13"/>
        <v>2474429.2732575778</v>
      </c>
      <c r="G26" s="485">
        <f t="shared" si="14"/>
        <v>411592.25003390061</v>
      </c>
      <c r="H26" s="478">
        <f t="shared" si="15"/>
        <v>411592.25003390061</v>
      </c>
      <c r="I26" s="482">
        <f t="shared" si="1"/>
        <v>0</v>
      </c>
      <c r="J26" s="482"/>
      <c r="K26" s="112"/>
      <c r="L26" s="484">
        <f t="shared" si="9"/>
        <v>0</v>
      </c>
      <c r="M26" s="112"/>
      <c r="N26" s="484">
        <f t="shared" si="10"/>
        <v>0</v>
      </c>
      <c r="O26" s="484">
        <f t="shared" si="11"/>
        <v>0</v>
      </c>
      <c r="P26" s="465"/>
    </row>
    <row r="27" spans="2:16">
      <c r="B27" t="str">
        <f t="shared" si="0"/>
        <v/>
      </c>
      <c r="C27" s="479">
        <f>IF(D11="","-",+C26+1)</f>
        <v>2035</v>
      </c>
      <c r="D27" s="481">
        <f>IF(F26+SUM(E$17:E26)=D$10,F26,D$10-SUM(E$17:E26))</f>
        <v>2474429.2732575778</v>
      </c>
      <c r="E27" s="55">
        <f t="shared" si="12"/>
        <v>120703.86666666667</v>
      </c>
      <c r="F27" s="481">
        <f t="shared" si="13"/>
        <v>2353725.4065909111</v>
      </c>
      <c r="G27" s="485">
        <f t="shared" si="14"/>
        <v>397740.42229052586</v>
      </c>
      <c r="H27" s="478">
        <f t="shared" si="15"/>
        <v>397740.42229052586</v>
      </c>
      <c r="I27" s="482">
        <f t="shared" si="1"/>
        <v>0</v>
      </c>
      <c r="J27" s="482"/>
      <c r="K27" s="112"/>
      <c r="L27" s="484">
        <f t="shared" si="9"/>
        <v>0</v>
      </c>
      <c r="M27" s="112"/>
      <c r="N27" s="484">
        <f t="shared" si="10"/>
        <v>0</v>
      </c>
      <c r="O27" s="484">
        <f t="shared" si="11"/>
        <v>0</v>
      </c>
      <c r="P27" s="465"/>
    </row>
    <row r="28" spans="2:16">
      <c r="B28" t="str">
        <f t="shared" si="0"/>
        <v/>
      </c>
      <c r="C28" s="479">
        <f>IF(D11="","-",+C27+1)</f>
        <v>2036</v>
      </c>
      <c r="D28" s="481">
        <f>IF(F27+SUM(E$17:E27)=D$10,F27,D$10-SUM(E$17:E27))</f>
        <v>2353725.4065909111</v>
      </c>
      <c r="E28" s="55">
        <f t="shared" si="12"/>
        <v>120703.86666666667</v>
      </c>
      <c r="F28" s="481">
        <f t="shared" si="13"/>
        <v>2233021.5399242444</v>
      </c>
      <c r="G28" s="485">
        <f t="shared" si="14"/>
        <v>383888.59454715112</v>
      </c>
      <c r="H28" s="478">
        <f t="shared" si="15"/>
        <v>383888.59454715112</v>
      </c>
      <c r="I28" s="482">
        <f t="shared" si="1"/>
        <v>0</v>
      </c>
      <c r="J28" s="482"/>
      <c r="K28" s="112"/>
      <c r="L28" s="484">
        <f t="shared" si="9"/>
        <v>0</v>
      </c>
      <c r="M28" s="112"/>
      <c r="N28" s="484">
        <f t="shared" si="10"/>
        <v>0</v>
      </c>
      <c r="O28" s="484">
        <f t="shared" si="11"/>
        <v>0</v>
      </c>
      <c r="P28" s="465"/>
    </row>
    <row r="29" spans="2:16">
      <c r="B29" t="str">
        <f t="shared" si="0"/>
        <v/>
      </c>
      <c r="C29" s="479">
        <f>IF(D11="","-",+C28+1)</f>
        <v>2037</v>
      </c>
      <c r="D29" s="481">
        <f>IF(F28+SUM(E$17:E28)=D$10,F28,D$10-SUM(E$17:E28))</f>
        <v>2233021.5399242444</v>
      </c>
      <c r="E29" s="55">
        <f t="shared" si="12"/>
        <v>120703.86666666667</v>
      </c>
      <c r="F29" s="481">
        <f t="shared" si="13"/>
        <v>2112317.6732575777</v>
      </c>
      <c r="G29" s="485">
        <f t="shared" si="14"/>
        <v>370036.76680377638</v>
      </c>
      <c r="H29" s="478">
        <f t="shared" si="15"/>
        <v>370036.76680377638</v>
      </c>
      <c r="I29" s="482">
        <f t="shared" si="1"/>
        <v>0</v>
      </c>
      <c r="J29" s="482"/>
      <c r="K29" s="112"/>
      <c r="L29" s="484">
        <f t="shared" si="9"/>
        <v>0</v>
      </c>
      <c r="M29" s="112"/>
      <c r="N29" s="484">
        <f t="shared" si="10"/>
        <v>0</v>
      </c>
      <c r="O29" s="484">
        <f t="shared" si="11"/>
        <v>0</v>
      </c>
      <c r="P29" s="465"/>
    </row>
    <row r="30" spans="2:16">
      <c r="B30" t="str">
        <f t="shared" si="0"/>
        <v/>
      </c>
      <c r="C30" s="479">
        <f>IF(D11="","-",+C29+1)</f>
        <v>2038</v>
      </c>
      <c r="D30" s="481">
        <f>IF(F29+SUM(E$17:E29)=D$10,F29,D$10-SUM(E$17:E29))</f>
        <v>2112317.6732575777</v>
      </c>
      <c r="E30" s="55">
        <f t="shared" si="12"/>
        <v>120703.86666666667</v>
      </c>
      <c r="F30" s="481">
        <f t="shared" si="13"/>
        <v>1991613.806590911</v>
      </c>
      <c r="G30" s="485">
        <f t="shared" si="14"/>
        <v>356184.93906040175</v>
      </c>
      <c r="H30" s="478">
        <f t="shared" si="15"/>
        <v>356184.93906040175</v>
      </c>
      <c r="I30" s="482">
        <f t="shared" si="1"/>
        <v>0</v>
      </c>
      <c r="J30" s="482"/>
      <c r="K30" s="112"/>
      <c r="L30" s="484">
        <f t="shared" si="9"/>
        <v>0</v>
      </c>
      <c r="M30" s="112"/>
      <c r="N30" s="484">
        <f t="shared" si="10"/>
        <v>0</v>
      </c>
      <c r="O30" s="484">
        <f t="shared" si="11"/>
        <v>0</v>
      </c>
      <c r="P30" s="465"/>
    </row>
    <row r="31" spans="2:16">
      <c r="B31" t="str">
        <f t="shared" si="0"/>
        <v/>
      </c>
      <c r="C31" s="479">
        <f>IF(D11="","-",+C30+1)</f>
        <v>2039</v>
      </c>
      <c r="D31" s="481">
        <f>IF(F30+SUM(E$17:E30)=D$10,F30,D$10-SUM(E$17:E30))</f>
        <v>1991613.806590911</v>
      </c>
      <c r="E31" s="55">
        <f t="shared" si="12"/>
        <v>120703.86666666667</v>
      </c>
      <c r="F31" s="481">
        <f t="shared" si="13"/>
        <v>1870909.9399242443</v>
      </c>
      <c r="G31" s="485">
        <f t="shared" si="14"/>
        <v>342333.11131702701</v>
      </c>
      <c r="H31" s="478">
        <f t="shared" si="15"/>
        <v>342333.11131702701</v>
      </c>
      <c r="I31" s="482">
        <f t="shared" si="1"/>
        <v>0</v>
      </c>
      <c r="J31" s="482"/>
      <c r="K31" s="112"/>
      <c r="L31" s="484">
        <f t="shared" si="9"/>
        <v>0</v>
      </c>
      <c r="M31" s="112"/>
      <c r="N31" s="484">
        <f t="shared" si="10"/>
        <v>0</v>
      </c>
      <c r="O31" s="484">
        <f t="shared" si="11"/>
        <v>0</v>
      </c>
      <c r="P31" s="465"/>
    </row>
    <row r="32" spans="2:16">
      <c r="B32" t="str">
        <f t="shared" si="0"/>
        <v/>
      </c>
      <c r="C32" s="479">
        <f>IF(D11="","-",+C31+1)</f>
        <v>2040</v>
      </c>
      <c r="D32" s="481">
        <f>IF(F31+SUM(E$17:E31)=D$10,F31,D$10-SUM(E$17:E31))</f>
        <v>1870909.9399242443</v>
      </c>
      <c r="E32" s="55">
        <f t="shared" si="12"/>
        <v>120703.86666666667</v>
      </c>
      <c r="F32" s="481">
        <f t="shared" si="13"/>
        <v>1750206.0732575776</v>
      </c>
      <c r="G32" s="485">
        <f t="shared" si="14"/>
        <v>328481.28357365227</v>
      </c>
      <c r="H32" s="478">
        <f t="shared" si="15"/>
        <v>328481.28357365227</v>
      </c>
      <c r="I32" s="482">
        <f t="shared" si="1"/>
        <v>0</v>
      </c>
      <c r="J32" s="482"/>
      <c r="K32" s="112"/>
      <c r="L32" s="484">
        <f t="shared" si="9"/>
        <v>0</v>
      </c>
      <c r="M32" s="112"/>
      <c r="N32" s="484">
        <f t="shared" si="10"/>
        <v>0</v>
      </c>
      <c r="O32" s="484">
        <f t="shared" si="11"/>
        <v>0</v>
      </c>
      <c r="P32" s="465"/>
    </row>
    <row r="33" spans="2:16">
      <c r="B33" t="str">
        <f t="shared" si="0"/>
        <v/>
      </c>
      <c r="C33" s="479">
        <f>IF(D11="","-",+C32+1)</f>
        <v>2041</v>
      </c>
      <c r="D33" s="481">
        <f>IF(F32+SUM(E$17:E32)=D$10,F32,D$10-SUM(E$17:E32))</f>
        <v>1750206.0732575776</v>
      </c>
      <c r="E33" s="55">
        <f t="shared" si="12"/>
        <v>120703.86666666667</v>
      </c>
      <c r="F33" s="481">
        <f t="shared" si="13"/>
        <v>1629502.2065909109</v>
      </c>
      <c r="G33" s="485">
        <f t="shared" si="14"/>
        <v>314629.45583027753</v>
      </c>
      <c r="H33" s="478">
        <f t="shared" si="15"/>
        <v>314629.45583027753</v>
      </c>
      <c r="I33" s="482">
        <f t="shared" si="1"/>
        <v>0</v>
      </c>
      <c r="J33" s="482"/>
      <c r="K33" s="112"/>
      <c r="L33" s="484">
        <f t="shared" si="9"/>
        <v>0</v>
      </c>
      <c r="M33" s="112"/>
      <c r="N33" s="484">
        <f t="shared" si="10"/>
        <v>0</v>
      </c>
      <c r="O33" s="484">
        <f t="shared" si="11"/>
        <v>0</v>
      </c>
      <c r="P33" s="465"/>
    </row>
    <row r="34" spans="2:16">
      <c r="B34" t="str">
        <f t="shared" si="0"/>
        <v/>
      </c>
      <c r="C34" s="479">
        <f>IF(D11="","-",+C33+1)</f>
        <v>2042</v>
      </c>
      <c r="D34" s="481">
        <f>IF(F33+SUM(E$17:E33)=D$10,F33,D$10-SUM(E$17:E33))</f>
        <v>1629502.2065909109</v>
      </c>
      <c r="E34" s="55">
        <f t="shared" si="12"/>
        <v>120703.86666666667</v>
      </c>
      <c r="F34" s="481">
        <f t="shared" si="13"/>
        <v>1508798.3399242442</v>
      </c>
      <c r="G34" s="485">
        <f t="shared" si="14"/>
        <v>300777.62808690284</v>
      </c>
      <c r="H34" s="478">
        <f t="shared" si="15"/>
        <v>300777.62808690284</v>
      </c>
      <c r="I34" s="482">
        <f t="shared" si="1"/>
        <v>0</v>
      </c>
      <c r="J34" s="482"/>
      <c r="K34" s="112"/>
      <c r="L34" s="484">
        <f t="shared" si="9"/>
        <v>0</v>
      </c>
      <c r="M34" s="112"/>
      <c r="N34" s="484">
        <f t="shared" si="10"/>
        <v>0</v>
      </c>
      <c r="O34" s="484">
        <f t="shared" si="11"/>
        <v>0</v>
      </c>
      <c r="P34" s="465"/>
    </row>
    <row r="35" spans="2:16">
      <c r="B35" t="str">
        <f t="shared" si="0"/>
        <v/>
      </c>
      <c r="C35" s="479">
        <f>IF(D11="","-",+C34+1)</f>
        <v>2043</v>
      </c>
      <c r="D35" s="481">
        <f>IF(F34+SUM(E$17:E34)=D$10,F34,D$10-SUM(E$17:E34))</f>
        <v>1508798.3399242442</v>
      </c>
      <c r="E35" s="55">
        <f t="shared" si="12"/>
        <v>120703.86666666667</v>
      </c>
      <c r="F35" s="481">
        <f t="shared" si="13"/>
        <v>1388094.4732575775</v>
      </c>
      <c r="G35" s="485">
        <f t="shared" si="14"/>
        <v>286925.80034352816</v>
      </c>
      <c r="H35" s="478">
        <f t="shared" si="15"/>
        <v>286925.80034352816</v>
      </c>
      <c r="I35" s="482">
        <f t="shared" si="1"/>
        <v>0</v>
      </c>
      <c r="J35" s="482"/>
      <c r="K35" s="112"/>
      <c r="L35" s="484">
        <f t="shared" si="9"/>
        <v>0</v>
      </c>
      <c r="M35" s="112"/>
      <c r="N35" s="484">
        <f t="shared" si="10"/>
        <v>0</v>
      </c>
      <c r="O35" s="484">
        <f t="shared" si="11"/>
        <v>0</v>
      </c>
      <c r="P35" s="465"/>
    </row>
    <row r="36" spans="2:16">
      <c r="B36" t="str">
        <f t="shared" si="0"/>
        <v/>
      </c>
      <c r="C36" s="479">
        <f>IF(D11="","-",+C35+1)</f>
        <v>2044</v>
      </c>
      <c r="D36" s="481">
        <f>IF(F35+SUM(E$17:E35)=D$10,F35,D$10-SUM(E$17:E35))</f>
        <v>1388094.4732575775</v>
      </c>
      <c r="E36" s="55">
        <f t="shared" si="12"/>
        <v>120703.86666666667</v>
      </c>
      <c r="F36" s="481">
        <f t="shared" si="13"/>
        <v>1267390.6065909108</v>
      </c>
      <c r="G36" s="485">
        <f t="shared" si="14"/>
        <v>273073.97260015341</v>
      </c>
      <c r="H36" s="478">
        <f t="shared" si="15"/>
        <v>273073.97260015341</v>
      </c>
      <c r="I36" s="482">
        <f t="shared" si="1"/>
        <v>0</v>
      </c>
      <c r="J36" s="482"/>
      <c r="K36" s="112"/>
      <c r="L36" s="484">
        <f t="shared" si="9"/>
        <v>0</v>
      </c>
      <c r="M36" s="112"/>
      <c r="N36" s="484">
        <f t="shared" si="10"/>
        <v>0</v>
      </c>
      <c r="O36" s="484">
        <f t="shared" si="11"/>
        <v>0</v>
      </c>
      <c r="P36" s="465"/>
    </row>
    <row r="37" spans="2:16">
      <c r="B37" t="str">
        <f t="shared" si="0"/>
        <v/>
      </c>
      <c r="C37" s="479">
        <f>IF(D11="","-",+C36+1)</f>
        <v>2045</v>
      </c>
      <c r="D37" s="481">
        <f>IF(F36+SUM(E$17:E36)=D$10,F36,D$10-SUM(E$17:E36))</f>
        <v>1267390.6065909108</v>
      </c>
      <c r="E37" s="55">
        <f t="shared" si="12"/>
        <v>120703.86666666667</v>
      </c>
      <c r="F37" s="481">
        <f t="shared" si="13"/>
        <v>1146686.7399242441</v>
      </c>
      <c r="G37" s="485">
        <f t="shared" si="14"/>
        <v>259222.14485677867</v>
      </c>
      <c r="H37" s="478">
        <f t="shared" si="15"/>
        <v>259222.14485677867</v>
      </c>
      <c r="I37" s="482">
        <f t="shared" si="1"/>
        <v>0</v>
      </c>
      <c r="J37" s="482"/>
      <c r="K37" s="112"/>
      <c r="L37" s="484">
        <f t="shared" si="9"/>
        <v>0</v>
      </c>
      <c r="M37" s="112"/>
      <c r="N37" s="484">
        <f t="shared" si="10"/>
        <v>0</v>
      </c>
      <c r="O37" s="484">
        <f t="shared" si="11"/>
        <v>0</v>
      </c>
      <c r="P37" s="465"/>
    </row>
    <row r="38" spans="2:16">
      <c r="B38" t="str">
        <f t="shared" si="0"/>
        <v/>
      </c>
      <c r="C38" s="479">
        <f>IF(D11="","-",+C37+1)</f>
        <v>2046</v>
      </c>
      <c r="D38" s="481">
        <f>IF(F37+SUM(E$17:E37)=D$10,F37,D$10-SUM(E$17:E37))</f>
        <v>1146686.7399242441</v>
      </c>
      <c r="E38" s="55">
        <f t="shared" si="12"/>
        <v>120703.86666666667</v>
      </c>
      <c r="F38" s="481">
        <f t="shared" si="13"/>
        <v>1025982.8732575774</v>
      </c>
      <c r="G38" s="485">
        <f t="shared" si="14"/>
        <v>245370.31711340396</v>
      </c>
      <c r="H38" s="478">
        <f t="shared" si="15"/>
        <v>245370.31711340396</v>
      </c>
      <c r="I38" s="482">
        <f t="shared" si="1"/>
        <v>0</v>
      </c>
      <c r="J38" s="482"/>
      <c r="K38" s="112"/>
      <c r="L38" s="484">
        <f t="shared" si="9"/>
        <v>0</v>
      </c>
      <c r="M38" s="112"/>
      <c r="N38" s="484">
        <f t="shared" si="10"/>
        <v>0</v>
      </c>
      <c r="O38" s="484">
        <f t="shared" si="11"/>
        <v>0</v>
      </c>
      <c r="P38" s="465"/>
    </row>
    <row r="39" spans="2:16">
      <c r="B39" t="str">
        <f t="shared" si="0"/>
        <v/>
      </c>
      <c r="C39" s="479">
        <f>IF(D11="","-",+C38+1)</f>
        <v>2047</v>
      </c>
      <c r="D39" s="481">
        <f>IF(F38+SUM(E$17:E38)=D$10,F38,D$10-SUM(E$17:E38))</f>
        <v>1025982.8732575774</v>
      </c>
      <c r="E39" s="55">
        <f t="shared" si="12"/>
        <v>120703.86666666667</v>
      </c>
      <c r="F39" s="481">
        <f t="shared" si="13"/>
        <v>905279.00659091072</v>
      </c>
      <c r="G39" s="485">
        <f t="shared" si="14"/>
        <v>231518.48937002925</v>
      </c>
      <c r="H39" s="478">
        <f t="shared" si="15"/>
        <v>231518.48937002925</v>
      </c>
      <c r="I39" s="482">
        <f t="shared" si="1"/>
        <v>0</v>
      </c>
      <c r="J39" s="482"/>
      <c r="K39" s="112"/>
      <c r="L39" s="484">
        <f t="shared" si="9"/>
        <v>0</v>
      </c>
      <c r="M39" s="112"/>
      <c r="N39" s="484">
        <f t="shared" si="10"/>
        <v>0</v>
      </c>
      <c r="O39" s="484">
        <f t="shared" si="11"/>
        <v>0</v>
      </c>
      <c r="P39" s="465"/>
    </row>
    <row r="40" spans="2:16">
      <c r="B40" t="str">
        <f t="shared" si="0"/>
        <v/>
      </c>
      <c r="C40" s="479">
        <f>IF(D11="","-",+C39+1)</f>
        <v>2048</v>
      </c>
      <c r="D40" s="481">
        <f>IF(F39+SUM(E$17:E39)=D$10,F39,D$10-SUM(E$17:E39))</f>
        <v>905279.00659091072</v>
      </c>
      <c r="E40" s="55">
        <f t="shared" si="12"/>
        <v>120703.86666666667</v>
      </c>
      <c r="F40" s="481">
        <f t="shared" si="13"/>
        <v>784575.13992424402</v>
      </c>
      <c r="G40" s="485">
        <f t="shared" si="14"/>
        <v>217666.6616266545</v>
      </c>
      <c r="H40" s="478">
        <f t="shared" si="15"/>
        <v>217666.6616266545</v>
      </c>
      <c r="I40" s="482">
        <f t="shared" si="1"/>
        <v>0</v>
      </c>
      <c r="J40" s="482"/>
      <c r="K40" s="112"/>
      <c r="L40" s="484">
        <f t="shared" si="9"/>
        <v>0</v>
      </c>
      <c r="M40" s="112"/>
      <c r="N40" s="484">
        <f t="shared" si="10"/>
        <v>0</v>
      </c>
      <c r="O40" s="484">
        <f t="shared" si="11"/>
        <v>0</v>
      </c>
      <c r="P40" s="465"/>
    </row>
    <row r="41" spans="2:16">
      <c r="B41" t="str">
        <f t="shared" si="0"/>
        <v/>
      </c>
      <c r="C41" s="479">
        <f>IF(D11="","-",+C40+1)</f>
        <v>2049</v>
      </c>
      <c r="D41" s="481">
        <f>IF(F40+SUM(E$17:E40)=D$10,F40,D$10-SUM(E$17:E40))</f>
        <v>784575.13992424402</v>
      </c>
      <c r="E41" s="55">
        <f t="shared" si="12"/>
        <v>120703.86666666667</v>
      </c>
      <c r="F41" s="481">
        <f t="shared" si="13"/>
        <v>663871.27325757733</v>
      </c>
      <c r="G41" s="485">
        <f t="shared" si="14"/>
        <v>203814.83388327979</v>
      </c>
      <c r="H41" s="478">
        <f t="shared" si="15"/>
        <v>203814.83388327979</v>
      </c>
      <c r="I41" s="482">
        <f t="shared" si="1"/>
        <v>0</v>
      </c>
      <c r="J41" s="482"/>
      <c r="K41" s="112"/>
      <c r="L41" s="484">
        <f t="shared" si="9"/>
        <v>0</v>
      </c>
      <c r="M41" s="112"/>
      <c r="N41" s="484">
        <f t="shared" si="10"/>
        <v>0</v>
      </c>
      <c r="O41" s="484">
        <f t="shared" si="11"/>
        <v>0</v>
      </c>
      <c r="P41" s="465"/>
    </row>
    <row r="42" spans="2:16">
      <c r="B42" t="str">
        <f t="shared" si="0"/>
        <v/>
      </c>
      <c r="C42" s="479">
        <f>IF(D11="","-",+C41+1)</f>
        <v>2050</v>
      </c>
      <c r="D42" s="481">
        <f>IF(F41+SUM(E$17:E41)=D$10,F41,D$10-SUM(E$17:E41))</f>
        <v>663871.27325757733</v>
      </c>
      <c r="E42" s="55">
        <f t="shared" si="12"/>
        <v>120703.86666666667</v>
      </c>
      <c r="F42" s="481">
        <f t="shared" si="13"/>
        <v>543167.40659091063</v>
      </c>
      <c r="G42" s="485">
        <f t="shared" si="14"/>
        <v>189963.00613990508</v>
      </c>
      <c r="H42" s="478">
        <f t="shared" si="15"/>
        <v>189963.00613990508</v>
      </c>
      <c r="I42" s="482">
        <f t="shared" si="1"/>
        <v>0</v>
      </c>
      <c r="J42" s="482"/>
      <c r="K42" s="112"/>
      <c r="L42" s="484">
        <f t="shared" si="9"/>
        <v>0</v>
      </c>
      <c r="M42" s="112"/>
      <c r="N42" s="484">
        <f t="shared" si="10"/>
        <v>0</v>
      </c>
      <c r="O42" s="484">
        <f t="shared" si="11"/>
        <v>0</v>
      </c>
      <c r="P42" s="465"/>
    </row>
    <row r="43" spans="2:16">
      <c r="B43" t="str">
        <f t="shared" si="0"/>
        <v/>
      </c>
      <c r="C43" s="479">
        <f>IF(D11="","-",+C42+1)</f>
        <v>2051</v>
      </c>
      <c r="D43" s="481">
        <f>IF(F42+SUM(E$17:E42)=D$10,F42,D$10-SUM(E$17:E42))</f>
        <v>543167.40659091063</v>
      </c>
      <c r="E43" s="55">
        <f t="shared" si="12"/>
        <v>120703.86666666667</v>
      </c>
      <c r="F43" s="481">
        <f t="shared" si="13"/>
        <v>422463.53992424393</v>
      </c>
      <c r="G43" s="485">
        <f t="shared" si="14"/>
        <v>176111.17839653036</v>
      </c>
      <c r="H43" s="478">
        <f t="shared" si="15"/>
        <v>176111.17839653036</v>
      </c>
      <c r="I43" s="482">
        <f t="shared" si="1"/>
        <v>0</v>
      </c>
      <c r="J43" s="482"/>
      <c r="K43" s="112"/>
      <c r="L43" s="484">
        <f t="shared" si="9"/>
        <v>0</v>
      </c>
      <c r="M43" s="112"/>
      <c r="N43" s="484">
        <f t="shared" si="10"/>
        <v>0</v>
      </c>
      <c r="O43" s="484">
        <f t="shared" si="11"/>
        <v>0</v>
      </c>
      <c r="P43" s="465"/>
    </row>
    <row r="44" spans="2:16">
      <c r="B44" t="str">
        <f t="shared" si="0"/>
        <v/>
      </c>
      <c r="C44" s="479">
        <f>IF(D11="","-",+C43+1)</f>
        <v>2052</v>
      </c>
      <c r="D44" s="481">
        <f>IF(F43+SUM(E$17:E43)=D$10,F43,D$10-SUM(E$17:E43))</f>
        <v>422463.53992424393</v>
      </c>
      <c r="E44" s="55">
        <f t="shared" si="12"/>
        <v>120703.86666666667</v>
      </c>
      <c r="F44" s="481">
        <f t="shared" si="13"/>
        <v>301759.67325757723</v>
      </c>
      <c r="G44" s="485">
        <f t="shared" si="14"/>
        <v>162259.35065315565</v>
      </c>
      <c r="H44" s="478">
        <f t="shared" si="15"/>
        <v>162259.35065315565</v>
      </c>
      <c r="I44" s="482">
        <f t="shared" si="1"/>
        <v>0</v>
      </c>
      <c r="J44" s="482"/>
      <c r="K44" s="112"/>
      <c r="L44" s="484">
        <f t="shared" si="9"/>
        <v>0</v>
      </c>
      <c r="M44" s="112"/>
      <c r="N44" s="484">
        <f t="shared" si="10"/>
        <v>0</v>
      </c>
      <c r="O44" s="484">
        <f t="shared" si="11"/>
        <v>0</v>
      </c>
      <c r="P44" s="465"/>
    </row>
    <row r="45" spans="2:16">
      <c r="B45" t="str">
        <f t="shared" si="0"/>
        <v/>
      </c>
      <c r="C45" s="479">
        <f>IF(D11="","-",+C44+1)</f>
        <v>2053</v>
      </c>
      <c r="D45" s="481">
        <f>IF(F44+SUM(E$17:E44)=D$10,F44,D$10-SUM(E$17:E44))</f>
        <v>301759.67325757723</v>
      </c>
      <c r="E45" s="55">
        <f t="shared" si="12"/>
        <v>120703.86666666667</v>
      </c>
      <c r="F45" s="481">
        <f t="shared" si="13"/>
        <v>181055.80659091056</v>
      </c>
      <c r="G45" s="485">
        <f t="shared" si="14"/>
        <v>148407.52290978091</v>
      </c>
      <c r="H45" s="478">
        <f t="shared" si="15"/>
        <v>148407.52290978091</v>
      </c>
      <c r="I45" s="482">
        <f t="shared" si="1"/>
        <v>0</v>
      </c>
      <c r="J45" s="482"/>
      <c r="K45" s="112"/>
      <c r="L45" s="484">
        <f t="shared" si="9"/>
        <v>0</v>
      </c>
      <c r="M45" s="112"/>
      <c r="N45" s="484">
        <f t="shared" si="10"/>
        <v>0</v>
      </c>
      <c r="O45" s="484">
        <f t="shared" si="11"/>
        <v>0</v>
      </c>
      <c r="P45" s="465"/>
    </row>
    <row r="46" spans="2:16">
      <c r="B46" t="str">
        <f t="shared" si="0"/>
        <v/>
      </c>
      <c r="C46" s="479">
        <f>IF(D11="","-",+C45+1)</f>
        <v>2054</v>
      </c>
      <c r="D46" s="481">
        <f>IF(F45+SUM(E$17:E45)=D$10,F45,D$10-SUM(E$17:E45))</f>
        <v>181055.80659091056</v>
      </c>
      <c r="E46" s="55">
        <f t="shared" si="12"/>
        <v>120703.86666666667</v>
      </c>
      <c r="F46" s="481">
        <f t="shared" si="13"/>
        <v>60351.939924243896</v>
      </c>
      <c r="G46" s="485">
        <f t="shared" si="14"/>
        <v>134555.69516640619</v>
      </c>
      <c r="H46" s="478">
        <f t="shared" si="15"/>
        <v>134555.69516640619</v>
      </c>
      <c r="I46" s="482">
        <f t="shared" si="1"/>
        <v>0</v>
      </c>
      <c r="J46" s="482"/>
      <c r="K46" s="112"/>
      <c r="L46" s="484">
        <f t="shared" si="9"/>
        <v>0</v>
      </c>
      <c r="M46" s="112"/>
      <c r="N46" s="484">
        <f t="shared" si="10"/>
        <v>0</v>
      </c>
      <c r="O46" s="484">
        <f t="shared" si="11"/>
        <v>0</v>
      </c>
      <c r="P46" s="465"/>
    </row>
    <row r="47" spans="2:16">
      <c r="B47" t="str">
        <f t="shared" si="0"/>
        <v/>
      </c>
      <c r="C47" s="479">
        <f>IF(D11="","-",+C46+1)</f>
        <v>2055</v>
      </c>
      <c r="D47" s="481">
        <f>IF(F46+SUM(E$17:E46)=D$10,F46,D$10-SUM(E$17:E46))</f>
        <v>60351.939924243896</v>
      </c>
      <c r="E47" s="55">
        <f t="shared" si="12"/>
        <v>60351.939924243896</v>
      </c>
      <c r="F47" s="481">
        <f t="shared" si="13"/>
        <v>0</v>
      </c>
      <c r="G47" s="485">
        <f t="shared" si="14"/>
        <v>63814.897238269979</v>
      </c>
      <c r="H47" s="478">
        <f t="shared" si="15"/>
        <v>63814.897238269979</v>
      </c>
      <c r="I47" s="482">
        <f t="shared" si="1"/>
        <v>0</v>
      </c>
      <c r="J47" s="482"/>
      <c r="K47" s="112"/>
      <c r="L47" s="484">
        <f t="shared" si="9"/>
        <v>0</v>
      </c>
      <c r="M47" s="112"/>
      <c r="N47" s="484">
        <f t="shared" si="10"/>
        <v>0</v>
      </c>
      <c r="O47" s="484">
        <f t="shared" si="11"/>
        <v>0</v>
      </c>
      <c r="P47" s="465"/>
    </row>
    <row r="48" spans="2:16">
      <c r="B48" t="str">
        <f t="shared" si="0"/>
        <v/>
      </c>
      <c r="C48" s="479">
        <f>IF(D11="","-",+C47+1)</f>
        <v>2056</v>
      </c>
      <c r="D48" s="481">
        <f>IF(F47+SUM(E$17:E47)=D$10,F47,D$10-SUM(E$17:E47))</f>
        <v>0</v>
      </c>
      <c r="E48" s="55">
        <f t="shared" si="12"/>
        <v>0</v>
      </c>
      <c r="F48" s="481">
        <f t="shared" si="13"/>
        <v>0</v>
      </c>
      <c r="G48" s="485">
        <f t="shared" si="14"/>
        <v>0</v>
      </c>
      <c r="H48" s="478">
        <f t="shared" si="15"/>
        <v>0</v>
      </c>
      <c r="I48" s="482">
        <f t="shared" si="1"/>
        <v>0</v>
      </c>
      <c r="J48" s="482"/>
      <c r="K48" s="112"/>
      <c r="L48" s="484">
        <f t="shared" si="9"/>
        <v>0</v>
      </c>
      <c r="M48" s="112"/>
      <c r="N48" s="484">
        <f t="shared" si="10"/>
        <v>0</v>
      </c>
      <c r="O48" s="484">
        <f t="shared" si="11"/>
        <v>0</v>
      </c>
      <c r="P48" s="465"/>
    </row>
    <row r="49" spans="2:16">
      <c r="B49" t="str">
        <f t="shared" si="0"/>
        <v/>
      </c>
      <c r="C49" s="479">
        <f>IF(D11="","-",+C48+1)</f>
        <v>2057</v>
      </c>
      <c r="D49" s="481">
        <f>IF(F48+SUM(E$17:E48)=D$10,F48,D$10-SUM(E$17:E48))</f>
        <v>0</v>
      </c>
      <c r="E49" s="55">
        <f t="shared" si="12"/>
        <v>0</v>
      </c>
      <c r="F49" s="481">
        <f t="shared" si="13"/>
        <v>0</v>
      </c>
      <c r="G49" s="485">
        <f t="shared" si="14"/>
        <v>0</v>
      </c>
      <c r="H49" s="478">
        <f t="shared" si="15"/>
        <v>0</v>
      </c>
      <c r="I49" s="482">
        <f t="shared" si="1"/>
        <v>0</v>
      </c>
      <c r="J49" s="482"/>
      <c r="K49" s="112"/>
      <c r="L49" s="484">
        <f t="shared" si="9"/>
        <v>0</v>
      </c>
      <c r="M49" s="112"/>
      <c r="N49" s="484">
        <f t="shared" si="10"/>
        <v>0</v>
      </c>
      <c r="O49" s="484">
        <f t="shared" si="11"/>
        <v>0</v>
      </c>
      <c r="P49" s="465"/>
    </row>
    <row r="50" spans="2:16">
      <c r="B50" t="str">
        <f t="shared" si="0"/>
        <v/>
      </c>
      <c r="C50" s="479">
        <f>IF(D11="","-",+C49+1)</f>
        <v>2058</v>
      </c>
      <c r="D50" s="481">
        <f>IF(F49+SUM(E$17:E49)=D$10,F49,D$10-SUM(E$17:E49))</f>
        <v>0</v>
      </c>
      <c r="E50" s="55">
        <f t="shared" si="12"/>
        <v>0</v>
      </c>
      <c r="F50" s="481">
        <f t="shared" si="13"/>
        <v>0</v>
      </c>
      <c r="G50" s="485">
        <f t="shared" si="14"/>
        <v>0</v>
      </c>
      <c r="H50" s="478">
        <f t="shared" si="15"/>
        <v>0</v>
      </c>
      <c r="I50" s="482">
        <f t="shared" si="1"/>
        <v>0</v>
      </c>
      <c r="J50" s="482"/>
      <c r="K50" s="112"/>
      <c r="L50" s="484">
        <f t="shared" si="9"/>
        <v>0</v>
      </c>
      <c r="M50" s="112"/>
      <c r="N50" s="484">
        <f t="shared" si="10"/>
        <v>0</v>
      </c>
      <c r="O50" s="484">
        <f t="shared" si="11"/>
        <v>0</v>
      </c>
      <c r="P50" s="465"/>
    </row>
    <row r="51" spans="2:16">
      <c r="B51" t="str">
        <f t="shared" si="0"/>
        <v/>
      </c>
      <c r="C51" s="479">
        <f>IF(D11="","-",+C50+1)</f>
        <v>2059</v>
      </c>
      <c r="D51" s="481">
        <f>IF(F50+SUM(E$17:E50)=D$10,F50,D$10-SUM(E$17:E50))</f>
        <v>0</v>
      </c>
      <c r="E51" s="55">
        <f t="shared" si="12"/>
        <v>0</v>
      </c>
      <c r="F51" s="481">
        <f t="shared" si="13"/>
        <v>0</v>
      </c>
      <c r="G51" s="485">
        <f t="shared" si="14"/>
        <v>0</v>
      </c>
      <c r="H51" s="478">
        <f t="shared" si="15"/>
        <v>0</v>
      </c>
      <c r="I51" s="482">
        <f t="shared" si="1"/>
        <v>0</v>
      </c>
      <c r="J51" s="482"/>
      <c r="K51" s="112"/>
      <c r="L51" s="484">
        <f t="shared" si="9"/>
        <v>0</v>
      </c>
      <c r="M51" s="112"/>
      <c r="N51" s="484">
        <f t="shared" si="10"/>
        <v>0</v>
      </c>
      <c r="O51" s="484">
        <f t="shared" si="11"/>
        <v>0</v>
      </c>
      <c r="P51" s="465"/>
    </row>
    <row r="52" spans="2:16">
      <c r="B52" t="str">
        <f t="shared" si="0"/>
        <v/>
      </c>
      <c r="C52" s="479">
        <f>IF(D11="","-",+C51+1)</f>
        <v>2060</v>
      </c>
      <c r="D52" s="481">
        <f>IF(F51+SUM(E$17:E51)=D$10,F51,D$10-SUM(E$17:E51))</f>
        <v>0</v>
      </c>
      <c r="E52" s="55">
        <f t="shared" si="12"/>
        <v>0</v>
      </c>
      <c r="F52" s="481">
        <f t="shared" si="13"/>
        <v>0</v>
      </c>
      <c r="G52" s="485">
        <f t="shared" si="14"/>
        <v>0</v>
      </c>
      <c r="H52" s="478">
        <f t="shared" si="15"/>
        <v>0</v>
      </c>
      <c r="I52" s="482">
        <f t="shared" si="1"/>
        <v>0</v>
      </c>
      <c r="J52" s="482"/>
      <c r="K52" s="112"/>
      <c r="L52" s="484">
        <f t="shared" si="9"/>
        <v>0</v>
      </c>
      <c r="M52" s="112"/>
      <c r="N52" s="484">
        <f t="shared" si="10"/>
        <v>0</v>
      </c>
      <c r="O52" s="484">
        <f t="shared" si="11"/>
        <v>0</v>
      </c>
      <c r="P52" s="465"/>
    </row>
    <row r="53" spans="2:16">
      <c r="B53" t="str">
        <f t="shared" si="0"/>
        <v/>
      </c>
      <c r="C53" s="479">
        <f>IF(D11="","-",+C52+1)</f>
        <v>2061</v>
      </c>
      <c r="D53" s="481">
        <f>IF(F52+SUM(E$17:E52)=D$10,F52,D$10-SUM(E$17:E52))</f>
        <v>0</v>
      </c>
      <c r="E53" s="55">
        <f t="shared" si="12"/>
        <v>0</v>
      </c>
      <c r="F53" s="481">
        <f t="shared" si="13"/>
        <v>0</v>
      </c>
      <c r="G53" s="485">
        <f t="shared" si="14"/>
        <v>0</v>
      </c>
      <c r="H53" s="478">
        <f t="shared" si="15"/>
        <v>0</v>
      </c>
      <c r="I53" s="482">
        <f t="shared" si="1"/>
        <v>0</v>
      </c>
      <c r="J53" s="482"/>
      <c r="K53" s="112"/>
      <c r="L53" s="484">
        <f t="shared" si="9"/>
        <v>0</v>
      </c>
      <c r="M53" s="112"/>
      <c r="N53" s="484">
        <f t="shared" si="10"/>
        <v>0</v>
      </c>
      <c r="O53" s="484">
        <f t="shared" si="11"/>
        <v>0</v>
      </c>
      <c r="P53" s="465"/>
    </row>
    <row r="54" spans="2:16">
      <c r="B54" t="str">
        <f t="shared" si="0"/>
        <v/>
      </c>
      <c r="C54" s="479">
        <f>IF(D11="","-",+C53+1)</f>
        <v>2062</v>
      </c>
      <c r="D54" s="481">
        <f>IF(F53+SUM(E$17:E53)=D$10,F53,D$10-SUM(E$17:E53))</f>
        <v>0</v>
      </c>
      <c r="E54" s="55">
        <f t="shared" si="12"/>
        <v>0</v>
      </c>
      <c r="F54" s="481">
        <f t="shared" si="13"/>
        <v>0</v>
      </c>
      <c r="G54" s="485">
        <f t="shared" si="14"/>
        <v>0</v>
      </c>
      <c r="H54" s="478">
        <f t="shared" si="15"/>
        <v>0</v>
      </c>
      <c r="I54" s="482">
        <f t="shared" si="1"/>
        <v>0</v>
      </c>
      <c r="J54" s="482"/>
      <c r="K54" s="112"/>
      <c r="L54" s="484">
        <f t="shared" si="9"/>
        <v>0</v>
      </c>
      <c r="M54" s="112"/>
      <c r="N54" s="484">
        <f t="shared" si="10"/>
        <v>0</v>
      </c>
      <c r="O54" s="484">
        <f t="shared" si="11"/>
        <v>0</v>
      </c>
      <c r="P54" s="465"/>
    </row>
    <row r="55" spans="2:16">
      <c r="B55" t="str">
        <f t="shared" si="0"/>
        <v/>
      </c>
      <c r="C55" s="479">
        <f>IF(D11="","-",+C54+1)</f>
        <v>2063</v>
      </c>
      <c r="D55" s="481">
        <f>IF(F54+SUM(E$17:E54)=D$10,F54,D$10-SUM(E$17:E54))</f>
        <v>0</v>
      </c>
      <c r="E55" s="55">
        <f t="shared" si="12"/>
        <v>0</v>
      </c>
      <c r="F55" s="481">
        <f t="shared" si="13"/>
        <v>0</v>
      </c>
      <c r="G55" s="485">
        <f t="shared" si="14"/>
        <v>0</v>
      </c>
      <c r="H55" s="478">
        <f t="shared" si="15"/>
        <v>0</v>
      </c>
      <c r="I55" s="482">
        <f t="shared" si="1"/>
        <v>0</v>
      </c>
      <c r="J55" s="482"/>
      <c r="K55" s="112"/>
      <c r="L55" s="484">
        <f t="shared" si="9"/>
        <v>0</v>
      </c>
      <c r="M55" s="112"/>
      <c r="N55" s="484">
        <f t="shared" si="10"/>
        <v>0</v>
      </c>
      <c r="O55" s="484">
        <f t="shared" si="11"/>
        <v>0</v>
      </c>
      <c r="P55" s="465"/>
    </row>
    <row r="56" spans="2:16">
      <c r="B56" t="str">
        <f t="shared" si="0"/>
        <v/>
      </c>
      <c r="C56" s="479">
        <f>IF(D11="","-",+C55+1)</f>
        <v>2064</v>
      </c>
      <c r="D56" s="481">
        <f>IF(F55+SUM(E$17:E55)=D$10,F55,D$10-SUM(E$17:E55))</f>
        <v>0</v>
      </c>
      <c r="E56" s="55">
        <f t="shared" si="12"/>
        <v>0</v>
      </c>
      <c r="F56" s="481">
        <f t="shared" si="13"/>
        <v>0</v>
      </c>
      <c r="G56" s="485">
        <f t="shared" si="14"/>
        <v>0</v>
      </c>
      <c r="H56" s="478">
        <f t="shared" si="15"/>
        <v>0</v>
      </c>
      <c r="I56" s="482">
        <f t="shared" si="1"/>
        <v>0</v>
      </c>
      <c r="J56" s="482"/>
      <c r="K56" s="112"/>
      <c r="L56" s="484">
        <f t="shared" si="9"/>
        <v>0</v>
      </c>
      <c r="M56" s="112"/>
      <c r="N56" s="484">
        <f t="shared" si="10"/>
        <v>0</v>
      </c>
      <c r="O56" s="484">
        <f t="shared" si="11"/>
        <v>0</v>
      </c>
      <c r="P56" s="465"/>
    </row>
    <row r="57" spans="2:16">
      <c r="B57" t="str">
        <f t="shared" si="0"/>
        <v/>
      </c>
      <c r="C57" s="479">
        <f>IF(D11="","-",+C56+1)</f>
        <v>2065</v>
      </c>
      <c r="D57" s="481">
        <f>IF(F56+SUM(E$17:E56)=D$10,F56,D$10-SUM(E$17:E56))</f>
        <v>0</v>
      </c>
      <c r="E57" s="55">
        <f t="shared" si="12"/>
        <v>0</v>
      </c>
      <c r="F57" s="481">
        <f t="shared" si="13"/>
        <v>0</v>
      </c>
      <c r="G57" s="485">
        <f t="shared" si="14"/>
        <v>0</v>
      </c>
      <c r="H57" s="478">
        <f t="shared" si="15"/>
        <v>0</v>
      </c>
      <c r="I57" s="482">
        <f t="shared" si="1"/>
        <v>0</v>
      </c>
      <c r="J57" s="482"/>
      <c r="K57" s="112"/>
      <c r="L57" s="484">
        <f t="shared" si="9"/>
        <v>0</v>
      </c>
      <c r="M57" s="112"/>
      <c r="N57" s="484">
        <f t="shared" si="10"/>
        <v>0</v>
      </c>
      <c r="O57" s="484">
        <f t="shared" si="11"/>
        <v>0</v>
      </c>
      <c r="P57" s="465"/>
    </row>
    <row r="58" spans="2:16">
      <c r="B58" t="str">
        <f t="shared" si="0"/>
        <v/>
      </c>
      <c r="C58" s="479">
        <f>IF(D11="","-",+C57+1)</f>
        <v>2066</v>
      </c>
      <c r="D58" s="481">
        <f>IF(F57+SUM(E$17:E57)=D$10,F57,D$10-SUM(E$17:E57))</f>
        <v>0</v>
      </c>
      <c r="E58" s="55">
        <f t="shared" si="12"/>
        <v>0</v>
      </c>
      <c r="F58" s="481">
        <f t="shared" si="13"/>
        <v>0</v>
      </c>
      <c r="G58" s="485">
        <f t="shared" si="14"/>
        <v>0</v>
      </c>
      <c r="H58" s="478">
        <f t="shared" si="15"/>
        <v>0</v>
      </c>
      <c r="I58" s="482">
        <f t="shared" si="1"/>
        <v>0</v>
      </c>
      <c r="J58" s="482"/>
      <c r="K58" s="112"/>
      <c r="L58" s="484">
        <f t="shared" si="9"/>
        <v>0</v>
      </c>
      <c r="M58" s="112"/>
      <c r="N58" s="484">
        <f t="shared" si="10"/>
        <v>0</v>
      </c>
      <c r="O58" s="484">
        <f t="shared" si="11"/>
        <v>0</v>
      </c>
      <c r="P58" s="465"/>
    </row>
    <row r="59" spans="2:16">
      <c r="B59" t="str">
        <f t="shared" si="0"/>
        <v/>
      </c>
      <c r="C59" s="479">
        <f>IF(D11="","-",+C58+1)</f>
        <v>2067</v>
      </c>
      <c r="D59" s="481">
        <f>IF(F58+SUM(E$17:E58)=D$10,F58,D$10-SUM(E$17:E58))</f>
        <v>0</v>
      </c>
      <c r="E59" s="55">
        <f t="shared" si="12"/>
        <v>0</v>
      </c>
      <c r="F59" s="481">
        <f t="shared" si="13"/>
        <v>0</v>
      </c>
      <c r="G59" s="485">
        <f t="shared" si="14"/>
        <v>0</v>
      </c>
      <c r="H59" s="478">
        <f t="shared" si="15"/>
        <v>0</v>
      </c>
      <c r="I59" s="482">
        <f t="shared" si="1"/>
        <v>0</v>
      </c>
      <c r="J59" s="482"/>
      <c r="K59" s="112"/>
      <c r="L59" s="484">
        <f t="shared" si="9"/>
        <v>0</v>
      </c>
      <c r="M59" s="112"/>
      <c r="N59" s="484">
        <f t="shared" si="10"/>
        <v>0</v>
      </c>
      <c r="O59" s="484">
        <f t="shared" si="11"/>
        <v>0</v>
      </c>
      <c r="P59" s="465"/>
    </row>
    <row r="60" spans="2:16">
      <c r="B60" t="str">
        <f t="shared" si="0"/>
        <v/>
      </c>
      <c r="C60" s="479">
        <f>IF(D11="","-",+C59+1)</f>
        <v>2068</v>
      </c>
      <c r="D60" s="481">
        <f>IF(F59+SUM(E$17:E59)=D$10,F59,D$10-SUM(E$17:E59))</f>
        <v>0</v>
      </c>
      <c r="E60" s="55">
        <f t="shared" si="12"/>
        <v>0</v>
      </c>
      <c r="F60" s="481">
        <f t="shared" si="13"/>
        <v>0</v>
      </c>
      <c r="G60" s="485">
        <f t="shared" si="14"/>
        <v>0</v>
      </c>
      <c r="H60" s="478">
        <f t="shared" si="15"/>
        <v>0</v>
      </c>
      <c r="I60" s="482">
        <f t="shared" si="1"/>
        <v>0</v>
      </c>
      <c r="J60" s="482"/>
      <c r="K60" s="112"/>
      <c r="L60" s="484">
        <f t="shared" si="9"/>
        <v>0</v>
      </c>
      <c r="M60" s="112"/>
      <c r="N60" s="484">
        <f t="shared" si="10"/>
        <v>0</v>
      </c>
      <c r="O60" s="484">
        <f t="shared" si="11"/>
        <v>0</v>
      </c>
      <c r="P60" s="465"/>
    </row>
    <row r="61" spans="2:16">
      <c r="B61" t="str">
        <f t="shared" si="0"/>
        <v/>
      </c>
      <c r="C61" s="479">
        <f>IF(D11="","-",+C60+1)</f>
        <v>2069</v>
      </c>
      <c r="D61" s="481">
        <f>IF(F60+SUM(E$17:E60)=D$10,F60,D$10-SUM(E$17:E60))</f>
        <v>0</v>
      </c>
      <c r="E61" s="55">
        <f t="shared" si="12"/>
        <v>0</v>
      </c>
      <c r="F61" s="481">
        <f t="shared" si="13"/>
        <v>0</v>
      </c>
      <c r="G61" s="486">
        <f t="shared" si="14"/>
        <v>0</v>
      </c>
      <c r="H61" s="478">
        <f t="shared" si="15"/>
        <v>0</v>
      </c>
      <c r="I61" s="482">
        <f t="shared" si="1"/>
        <v>0</v>
      </c>
      <c r="J61" s="482"/>
      <c r="K61" s="112"/>
      <c r="L61" s="484">
        <f t="shared" si="9"/>
        <v>0</v>
      </c>
      <c r="M61" s="112"/>
      <c r="N61" s="484">
        <f t="shared" si="10"/>
        <v>0</v>
      </c>
      <c r="O61" s="484">
        <f t="shared" si="11"/>
        <v>0</v>
      </c>
      <c r="P61" s="465"/>
    </row>
    <row r="62" spans="2:16">
      <c r="B62" t="str">
        <f t="shared" si="0"/>
        <v/>
      </c>
      <c r="C62" s="479">
        <f>IF(D11="","-",+C61+1)</f>
        <v>2070</v>
      </c>
      <c r="D62" s="481">
        <f>IF(F61+SUM(E$17:E61)=D$10,F61,D$10-SUM(E$17:E61))</f>
        <v>0</v>
      </c>
      <c r="E62" s="55">
        <f t="shared" si="12"/>
        <v>0</v>
      </c>
      <c r="F62" s="481">
        <f t="shared" si="13"/>
        <v>0</v>
      </c>
      <c r="G62" s="486">
        <f t="shared" si="14"/>
        <v>0</v>
      </c>
      <c r="H62" s="478">
        <f t="shared" si="15"/>
        <v>0</v>
      </c>
      <c r="I62" s="482">
        <f t="shared" si="1"/>
        <v>0</v>
      </c>
      <c r="J62" s="482"/>
      <c r="K62" s="112"/>
      <c r="L62" s="484">
        <f t="shared" si="9"/>
        <v>0</v>
      </c>
      <c r="M62" s="112"/>
      <c r="N62" s="484">
        <f t="shared" si="10"/>
        <v>0</v>
      </c>
      <c r="O62" s="484">
        <f t="shared" si="11"/>
        <v>0</v>
      </c>
      <c r="P62" s="465"/>
    </row>
    <row r="63" spans="2:16">
      <c r="B63" t="str">
        <f t="shared" si="0"/>
        <v/>
      </c>
      <c r="C63" s="479">
        <f>IF(D11="","-",+C62+1)</f>
        <v>2071</v>
      </c>
      <c r="D63" s="481">
        <f>IF(F62+SUM(E$17:E62)=D$10,F62,D$10-SUM(E$17:E62))</f>
        <v>0</v>
      </c>
      <c r="E63" s="55">
        <f t="shared" si="12"/>
        <v>0</v>
      </c>
      <c r="F63" s="481">
        <f t="shared" si="13"/>
        <v>0</v>
      </c>
      <c r="G63" s="486">
        <f t="shared" si="14"/>
        <v>0</v>
      </c>
      <c r="H63" s="478">
        <f t="shared" si="15"/>
        <v>0</v>
      </c>
      <c r="I63" s="482">
        <f t="shared" si="1"/>
        <v>0</v>
      </c>
      <c r="J63" s="482"/>
      <c r="K63" s="112"/>
      <c r="L63" s="484">
        <f t="shared" si="9"/>
        <v>0</v>
      </c>
      <c r="M63" s="112"/>
      <c r="N63" s="484">
        <f t="shared" si="10"/>
        <v>0</v>
      </c>
      <c r="O63" s="484">
        <f t="shared" si="11"/>
        <v>0</v>
      </c>
      <c r="P63" s="465"/>
    </row>
    <row r="64" spans="2:16">
      <c r="B64" t="str">
        <f t="shared" si="0"/>
        <v/>
      </c>
      <c r="C64" s="479">
        <f>IF(D11="","-",+C63+1)</f>
        <v>2072</v>
      </c>
      <c r="D64" s="481">
        <f>IF(F63+SUM(E$17:E63)=D$10,F63,D$10-SUM(E$17:E63))</f>
        <v>0</v>
      </c>
      <c r="E64" s="55">
        <f t="shared" si="12"/>
        <v>0</v>
      </c>
      <c r="F64" s="481">
        <f t="shared" si="13"/>
        <v>0</v>
      </c>
      <c r="G64" s="486">
        <f t="shared" si="14"/>
        <v>0</v>
      </c>
      <c r="H64" s="478">
        <f t="shared" si="15"/>
        <v>0</v>
      </c>
      <c r="I64" s="482">
        <f t="shared" si="1"/>
        <v>0</v>
      </c>
      <c r="J64" s="482"/>
      <c r="K64" s="112"/>
      <c r="L64" s="484">
        <f t="shared" si="9"/>
        <v>0</v>
      </c>
      <c r="M64" s="112"/>
      <c r="N64" s="484">
        <f t="shared" si="10"/>
        <v>0</v>
      </c>
      <c r="O64" s="484">
        <f t="shared" si="11"/>
        <v>0</v>
      </c>
      <c r="P64" s="465"/>
    </row>
    <row r="65" spans="2:16">
      <c r="B65" t="str">
        <f t="shared" si="0"/>
        <v/>
      </c>
      <c r="C65" s="479">
        <f>IF(D11="","-",+C64+1)</f>
        <v>2073</v>
      </c>
      <c r="D65" s="481">
        <f>IF(F64+SUM(E$17:E64)=D$10,F64,D$10-SUM(E$17:E64))</f>
        <v>0</v>
      </c>
      <c r="E65" s="55">
        <f t="shared" si="12"/>
        <v>0</v>
      </c>
      <c r="F65" s="481">
        <f t="shared" si="13"/>
        <v>0</v>
      </c>
      <c r="G65" s="486">
        <f t="shared" si="14"/>
        <v>0</v>
      </c>
      <c r="H65" s="478">
        <f t="shared" si="15"/>
        <v>0</v>
      </c>
      <c r="I65" s="482">
        <f t="shared" si="1"/>
        <v>0</v>
      </c>
      <c r="J65" s="482"/>
      <c r="K65" s="112"/>
      <c r="L65" s="484">
        <f t="shared" si="9"/>
        <v>0</v>
      </c>
      <c r="M65" s="112"/>
      <c r="N65" s="484">
        <f t="shared" si="10"/>
        <v>0</v>
      </c>
      <c r="O65" s="484">
        <f t="shared" si="11"/>
        <v>0</v>
      </c>
      <c r="P65" s="465"/>
    </row>
    <row r="66" spans="2:16">
      <c r="B66" t="str">
        <f t="shared" si="0"/>
        <v/>
      </c>
      <c r="C66" s="479">
        <f>IF(D11="","-",+C65+1)</f>
        <v>2074</v>
      </c>
      <c r="D66" s="481">
        <f>IF(F65+SUM(E$17:E65)=D$10,F65,D$10-SUM(E$17:E65))</f>
        <v>0</v>
      </c>
      <c r="E66" s="55">
        <f t="shared" si="12"/>
        <v>0</v>
      </c>
      <c r="F66" s="481">
        <f t="shared" si="13"/>
        <v>0</v>
      </c>
      <c r="G66" s="486">
        <f t="shared" si="14"/>
        <v>0</v>
      </c>
      <c r="H66" s="478">
        <f t="shared" si="15"/>
        <v>0</v>
      </c>
      <c r="I66" s="482">
        <f t="shared" si="1"/>
        <v>0</v>
      </c>
      <c r="J66" s="482"/>
      <c r="K66" s="112"/>
      <c r="L66" s="484">
        <f t="shared" si="9"/>
        <v>0</v>
      </c>
      <c r="M66" s="112"/>
      <c r="N66" s="484">
        <f t="shared" si="10"/>
        <v>0</v>
      </c>
      <c r="O66" s="484">
        <f t="shared" si="11"/>
        <v>0</v>
      </c>
      <c r="P66" s="465"/>
    </row>
    <row r="67" spans="2:16">
      <c r="B67" t="str">
        <f t="shared" si="0"/>
        <v/>
      </c>
      <c r="C67" s="479">
        <f>IF(D11="","-",+C66+1)</f>
        <v>2075</v>
      </c>
      <c r="D67" s="481">
        <f>IF(F66+SUM(E$17:E66)=D$10,F66,D$10-SUM(E$17:E66))</f>
        <v>0</v>
      </c>
      <c r="E67" s="55">
        <f t="shared" si="12"/>
        <v>0</v>
      </c>
      <c r="F67" s="481">
        <f t="shared" si="13"/>
        <v>0</v>
      </c>
      <c r="G67" s="486">
        <f t="shared" si="14"/>
        <v>0</v>
      </c>
      <c r="H67" s="478">
        <f t="shared" si="15"/>
        <v>0</v>
      </c>
      <c r="I67" s="482">
        <f t="shared" si="1"/>
        <v>0</v>
      </c>
      <c r="J67" s="482"/>
      <c r="K67" s="112"/>
      <c r="L67" s="484">
        <f t="shared" si="9"/>
        <v>0</v>
      </c>
      <c r="M67" s="112"/>
      <c r="N67" s="484">
        <f t="shared" si="10"/>
        <v>0</v>
      </c>
      <c r="O67" s="484">
        <f t="shared" si="11"/>
        <v>0</v>
      </c>
      <c r="P67" s="465"/>
    </row>
    <row r="68" spans="2:16">
      <c r="B68" t="str">
        <f t="shared" si="0"/>
        <v/>
      </c>
      <c r="C68" s="479">
        <f>IF(D11="","-",+C67+1)</f>
        <v>2076</v>
      </c>
      <c r="D68" s="481">
        <f>IF(F67+SUM(E$17:E67)=D$10,F67,D$10-SUM(E$17:E67))</f>
        <v>0</v>
      </c>
      <c r="E68" s="55">
        <f t="shared" si="12"/>
        <v>0</v>
      </c>
      <c r="F68" s="481">
        <f t="shared" si="13"/>
        <v>0</v>
      </c>
      <c r="G68" s="486">
        <f t="shared" si="14"/>
        <v>0</v>
      </c>
      <c r="H68" s="478">
        <f t="shared" si="15"/>
        <v>0</v>
      </c>
      <c r="I68" s="482">
        <f t="shared" si="1"/>
        <v>0</v>
      </c>
      <c r="J68" s="482"/>
      <c r="K68" s="112"/>
      <c r="L68" s="484">
        <f t="shared" si="9"/>
        <v>0</v>
      </c>
      <c r="M68" s="112"/>
      <c r="N68" s="484">
        <f t="shared" si="10"/>
        <v>0</v>
      </c>
      <c r="O68" s="484">
        <f t="shared" si="11"/>
        <v>0</v>
      </c>
      <c r="P68" s="465"/>
    </row>
    <row r="69" spans="2:16">
      <c r="B69" t="str">
        <f t="shared" si="0"/>
        <v/>
      </c>
      <c r="C69" s="479">
        <f>IF(D11="","-",+C68+1)</f>
        <v>2077</v>
      </c>
      <c r="D69" s="481">
        <f>IF(F68+SUM(E$17:E68)=D$10,F68,D$10-SUM(E$17:E68))</f>
        <v>0</v>
      </c>
      <c r="E69" s="55">
        <f t="shared" si="12"/>
        <v>0</v>
      </c>
      <c r="F69" s="481">
        <f t="shared" si="13"/>
        <v>0</v>
      </c>
      <c r="G69" s="486">
        <f t="shared" si="14"/>
        <v>0</v>
      </c>
      <c r="H69" s="478">
        <f t="shared" si="15"/>
        <v>0</v>
      </c>
      <c r="I69" s="482">
        <f t="shared" si="1"/>
        <v>0</v>
      </c>
      <c r="J69" s="482"/>
      <c r="K69" s="112"/>
      <c r="L69" s="484">
        <f t="shared" si="9"/>
        <v>0</v>
      </c>
      <c r="M69" s="112"/>
      <c r="N69" s="484">
        <f t="shared" si="10"/>
        <v>0</v>
      </c>
      <c r="O69" s="484">
        <f t="shared" si="11"/>
        <v>0</v>
      </c>
      <c r="P69" s="465"/>
    </row>
    <row r="70" spans="2:16">
      <c r="B70" t="str">
        <f t="shared" si="0"/>
        <v/>
      </c>
      <c r="C70" s="479">
        <f>IF(D11="","-",+C69+1)</f>
        <v>2078</v>
      </c>
      <c r="D70" s="481">
        <f>IF(F69+SUM(E$17:E69)=D$10,F69,D$10-SUM(E$17:E69))</f>
        <v>0</v>
      </c>
      <c r="E70" s="55">
        <f t="shared" si="12"/>
        <v>0</v>
      </c>
      <c r="F70" s="481">
        <f t="shared" si="13"/>
        <v>0</v>
      </c>
      <c r="G70" s="486">
        <f t="shared" si="14"/>
        <v>0</v>
      </c>
      <c r="H70" s="478">
        <f t="shared" si="15"/>
        <v>0</v>
      </c>
      <c r="I70" s="482">
        <f t="shared" si="1"/>
        <v>0</v>
      </c>
      <c r="J70" s="482"/>
      <c r="K70" s="112"/>
      <c r="L70" s="484">
        <f t="shared" si="9"/>
        <v>0</v>
      </c>
      <c r="M70" s="112"/>
      <c r="N70" s="484">
        <f t="shared" si="10"/>
        <v>0</v>
      </c>
      <c r="O70" s="484">
        <f t="shared" si="11"/>
        <v>0</v>
      </c>
      <c r="P70" s="465"/>
    </row>
    <row r="71" spans="2:16">
      <c r="B71" t="str">
        <f t="shared" si="0"/>
        <v/>
      </c>
      <c r="C71" s="479">
        <f>IF(D11="","-",+C70+1)</f>
        <v>2079</v>
      </c>
      <c r="D71" s="481">
        <f>IF(F70+SUM(E$17:E70)=D$10,F70,D$10-SUM(E$17:E70))</f>
        <v>0</v>
      </c>
      <c r="E71" s="55">
        <f t="shared" si="12"/>
        <v>0</v>
      </c>
      <c r="F71" s="481">
        <f t="shared" si="13"/>
        <v>0</v>
      </c>
      <c r="G71" s="486">
        <f t="shared" si="14"/>
        <v>0</v>
      </c>
      <c r="H71" s="478">
        <f t="shared" si="15"/>
        <v>0</v>
      </c>
      <c r="I71" s="482">
        <f t="shared" si="1"/>
        <v>0</v>
      </c>
      <c r="J71" s="482"/>
      <c r="K71" s="112"/>
      <c r="L71" s="484">
        <f t="shared" si="9"/>
        <v>0</v>
      </c>
      <c r="M71" s="112"/>
      <c r="N71" s="484">
        <f t="shared" si="10"/>
        <v>0</v>
      </c>
      <c r="O71" s="484">
        <f t="shared" si="11"/>
        <v>0</v>
      </c>
      <c r="P71" s="465"/>
    </row>
    <row r="72" spans="2:16">
      <c r="C72" s="479">
        <f>IF(D12="","-",+C71+1)</f>
        <v>2080</v>
      </c>
      <c r="D72" s="481">
        <f>IF(F71+SUM(E$17:E71)=D$10,F71,D$10-SUM(E$17:E71))</f>
        <v>0</v>
      </c>
      <c r="E72" s="55">
        <f>IF(+I$14&lt;F71,I$14,D72)</f>
        <v>0</v>
      </c>
      <c r="F72" s="481">
        <f>+D72-E72</f>
        <v>0</v>
      </c>
      <c r="G72" s="486">
        <f>(D72+F72)/2*I$12+E72</f>
        <v>0</v>
      </c>
      <c r="H72" s="478">
        <f>+(D72+F72)/2*I$13+E72</f>
        <v>0</v>
      </c>
      <c r="I72" s="482">
        <f>H72-G72</f>
        <v>0</v>
      </c>
      <c r="J72" s="482"/>
      <c r="K72" s="112"/>
      <c r="L72" s="484">
        <f>IF(K72&lt;&gt;0,+G72-K72,0)</f>
        <v>0</v>
      </c>
      <c r="M72" s="112"/>
      <c r="N72" s="484">
        <f>IF(M72&lt;&gt;0,+H72-M72,0)</f>
        <v>0</v>
      </c>
      <c r="O72" s="484">
        <f>+N72-L72</f>
        <v>0</v>
      </c>
      <c r="P72" s="465"/>
    </row>
    <row r="73" spans="2:16" ht="13.5" thickBot="1">
      <c r="B73" t="str">
        <f>IF(D73=F71,"","IU")</f>
        <v/>
      </c>
      <c r="C73" s="487">
        <f>IF(D13="","-",+C72+1)</f>
        <v>2081</v>
      </c>
      <c r="D73" s="60">
        <f>IF(F72+SUM(E$17:E72)=D$10,F72,D$10-SUM(E$17:E72))</f>
        <v>0</v>
      </c>
      <c r="E73" s="60">
        <f>IF(+I$14&lt;F72,I$14,D73)</f>
        <v>0</v>
      </c>
      <c r="F73" s="488">
        <f>+D73-E73</f>
        <v>0</v>
      </c>
      <c r="G73" s="489">
        <f>(D73+F73)/2*I$12+E73</f>
        <v>0</v>
      </c>
      <c r="H73" s="471">
        <f>+(D73+F73)/2*I$13+E73</f>
        <v>0</v>
      </c>
      <c r="I73" s="490">
        <f>H73-G73</f>
        <v>0</v>
      </c>
      <c r="J73" s="482"/>
      <c r="K73" s="113"/>
      <c r="L73" s="491">
        <f>IF(K73&lt;&gt;0,+G73-K73,0)</f>
        <v>0</v>
      </c>
      <c r="M73" s="113"/>
      <c r="N73" s="491">
        <f>IF(M73&lt;&gt;0,+H73-M73,0)</f>
        <v>0</v>
      </c>
      <c r="O73" s="491">
        <f>+N73-L73</f>
        <v>0</v>
      </c>
      <c r="P73" s="465"/>
    </row>
    <row r="74" spans="2:16">
      <c r="C74" s="480" t="s">
        <v>75</v>
      </c>
      <c r="D74" s="468"/>
      <c r="E74" s="468">
        <f>SUM(E17:E73)</f>
        <v>3621116</v>
      </c>
      <c r="F74" s="468"/>
      <c r="G74" s="468">
        <f>SUM(G17:G73)</f>
        <v>9853888.6198257208</v>
      </c>
      <c r="H74" s="468">
        <f>SUM(H17:H73)</f>
        <v>9853888.6198257208</v>
      </c>
      <c r="I74" s="468">
        <f>SUM(I17:I73)</f>
        <v>0</v>
      </c>
      <c r="J74" s="468"/>
      <c r="K74" s="468"/>
      <c r="L74" s="468"/>
      <c r="M74" s="468"/>
      <c r="N74" s="468"/>
      <c r="O74" s="465"/>
      <c r="P74" s="465"/>
    </row>
    <row r="75" spans="2:16">
      <c r="D75" s="466"/>
      <c r="E75" s="465"/>
      <c r="F75" s="465"/>
      <c r="G75" s="465"/>
      <c r="H75" s="467"/>
      <c r="I75" s="467"/>
      <c r="J75" s="468"/>
      <c r="K75" s="467"/>
      <c r="L75" s="467"/>
      <c r="M75" s="467"/>
      <c r="N75" s="467"/>
      <c r="O75" s="465"/>
      <c r="P75" s="465"/>
    </row>
    <row r="76" spans="2:16">
      <c r="C76" s="29" t="s">
        <v>95</v>
      </c>
      <c r="D76" s="466"/>
      <c r="E76" s="465"/>
      <c r="F76" s="465"/>
      <c r="G76" s="465"/>
      <c r="H76" s="467"/>
      <c r="I76" s="467"/>
      <c r="J76" s="468"/>
      <c r="K76" s="467"/>
      <c r="L76" s="467"/>
      <c r="M76" s="467"/>
      <c r="N76" s="467"/>
      <c r="O76" s="465"/>
      <c r="P76" s="465"/>
    </row>
    <row r="77" spans="2:16">
      <c r="C77" s="25" t="s">
        <v>76</v>
      </c>
      <c r="D77" s="466"/>
      <c r="E77" s="465"/>
      <c r="F77" s="465"/>
      <c r="G77" s="465"/>
      <c r="H77" s="467"/>
      <c r="I77" s="467"/>
      <c r="J77" s="468"/>
      <c r="K77" s="467"/>
      <c r="L77" s="467"/>
      <c r="M77" s="467"/>
      <c r="N77" s="467"/>
      <c r="O77" s="465"/>
      <c r="P77" s="465"/>
    </row>
    <row r="78" spans="2:16">
      <c r="C78" s="25" t="s">
        <v>77</v>
      </c>
      <c r="D78" s="480"/>
      <c r="E78" s="480"/>
      <c r="F78" s="480"/>
      <c r="G78" s="468"/>
      <c r="H78" s="468"/>
      <c r="I78" s="492"/>
      <c r="J78" s="492"/>
      <c r="K78" s="492"/>
      <c r="L78" s="492"/>
      <c r="M78" s="492"/>
      <c r="N78" s="492"/>
      <c r="O78" s="465"/>
      <c r="P78" s="465"/>
    </row>
    <row r="79" spans="2:16">
      <c r="C79" s="25"/>
      <c r="D79" s="480"/>
      <c r="E79" s="480"/>
      <c r="F79" s="480"/>
      <c r="G79" s="468"/>
      <c r="H79" s="468"/>
      <c r="I79" s="492"/>
      <c r="J79" s="492"/>
      <c r="K79" s="492"/>
      <c r="L79" s="492"/>
      <c r="M79" s="492"/>
      <c r="N79" s="492"/>
      <c r="O79" s="465"/>
      <c r="P79" s="465"/>
    </row>
    <row r="80" spans="2:16">
      <c r="B80" s="465"/>
      <c r="C80" s="465"/>
      <c r="D80" s="466"/>
      <c r="E80" s="465"/>
      <c r="F80" s="480"/>
      <c r="G80" s="465"/>
      <c r="H80" s="467"/>
      <c r="I80" s="465"/>
      <c r="J80" s="465"/>
      <c r="K80" s="465"/>
      <c r="L80" s="465"/>
      <c r="M80" s="465"/>
      <c r="N80" s="465"/>
      <c r="O80" s="465"/>
      <c r="P80" s="465"/>
    </row>
    <row r="81" spans="1:16" ht="18">
      <c r="B81" s="465"/>
      <c r="C81" s="493"/>
      <c r="D81" s="466"/>
      <c r="E81" s="465"/>
      <c r="F81" s="480"/>
      <c r="G81" s="465"/>
      <c r="H81" s="467"/>
      <c r="I81" s="465"/>
      <c r="J81" s="465"/>
      <c r="K81" s="465"/>
      <c r="L81" s="465"/>
      <c r="M81" s="465"/>
      <c r="N81" s="465"/>
      <c r="P81" s="94" t="s">
        <v>128</v>
      </c>
    </row>
    <row r="82" spans="1:16">
      <c r="B82" s="465"/>
      <c r="C82" s="465"/>
      <c r="D82" s="466"/>
      <c r="E82" s="465"/>
      <c r="F82" s="480"/>
      <c r="G82" s="465"/>
      <c r="H82" s="467"/>
      <c r="I82" s="465"/>
      <c r="J82" s="465"/>
      <c r="K82" s="465"/>
      <c r="L82" s="465"/>
      <c r="M82" s="465"/>
      <c r="N82" s="465"/>
      <c r="O82" s="465"/>
      <c r="P82" s="465"/>
    </row>
    <row r="83" spans="1:16">
      <c r="B83" s="465"/>
      <c r="C83" s="465"/>
      <c r="D83" s="466"/>
      <c r="E83" s="465"/>
      <c r="F83" s="480"/>
      <c r="G83" s="465"/>
      <c r="H83" s="467"/>
      <c r="I83" s="465"/>
      <c r="J83" s="465"/>
      <c r="K83" s="465"/>
      <c r="L83" s="465"/>
      <c r="M83" s="465"/>
      <c r="N83" s="465"/>
      <c r="O83" s="465"/>
      <c r="P83" s="465"/>
    </row>
    <row r="84" spans="1:16" ht="20.25">
      <c r="A84" s="93" t="s">
        <v>190</v>
      </c>
      <c r="B84" s="465"/>
      <c r="C84" s="465"/>
      <c r="D84" s="466"/>
      <c r="E84" s="465"/>
      <c r="F84" s="280"/>
      <c r="G84" s="280"/>
      <c r="H84" s="465"/>
      <c r="I84" s="467"/>
      <c r="L84" s="12"/>
      <c r="M84" s="12"/>
      <c r="P84" s="12" t="str">
        <f ca="1">P1</f>
        <v>OKT Project 25 of 26</v>
      </c>
    </row>
    <row r="85" spans="1:16" ht="18">
      <c r="B85" s="465"/>
      <c r="C85" s="465"/>
      <c r="D85" s="466"/>
      <c r="E85" s="465"/>
      <c r="F85" s="465"/>
      <c r="G85" s="465"/>
      <c r="H85" s="465"/>
      <c r="I85" s="467"/>
      <c r="J85" s="465"/>
      <c r="K85" s="465"/>
      <c r="L85" s="465"/>
      <c r="M85" s="465"/>
      <c r="P85" s="99" t="s">
        <v>132</v>
      </c>
    </row>
    <row r="86" spans="1:16" ht="18.75" thickBot="1">
      <c r="B86" s="4" t="s">
        <v>42</v>
      </c>
      <c r="C86" s="66" t="s">
        <v>81</v>
      </c>
      <c r="D86" s="466"/>
      <c r="E86" s="465"/>
      <c r="F86" s="465"/>
      <c r="G86" s="465"/>
      <c r="H86" s="465"/>
      <c r="I86" s="467"/>
      <c r="J86" s="467"/>
      <c r="K86" s="468"/>
      <c r="L86" s="467"/>
      <c r="M86" s="467"/>
      <c r="N86" s="467"/>
      <c r="O86" s="468"/>
      <c r="P86" s="465"/>
    </row>
    <row r="87" spans="1:16" ht="15.75" thickBot="1">
      <c r="C87" s="8"/>
      <c r="D87" s="466"/>
      <c r="E87" s="465"/>
      <c r="F87" s="465"/>
      <c r="G87" s="465"/>
      <c r="H87" s="465"/>
      <c r="I87" s="467"/>
      <c r="J87" s="467"/>
      <c r="K87" s="468"/>
      <c r="L87" s="100">
        <f>+J93</f>
        <v>2025</v>
      </c>
      <c r="M87" s="494" t="s">
        <v>9</v>
      </c>
      <c r="N87" s="495" t="s">
        <v>134</v>
      </c>
      <c r="O87" s="496" t="s">
        <v>11</v>
      </c>
      <c r="P87" s="465"/>
    </row>
    <row r="88" spans="1:16" ht="15">
      <c r="C88" s="90" t="s">
        <v>44</v>
      </c>
      <c r="D88" s="466"/>
      <c r="E88" s="465"/>
      <c r="F88" s="465"/>
      <c r="G88" s="465"/>
      <c r="H88" s="15"/>
      <c r="I88" s="465" t="s">
        <v>45</v>
      </c>
      <c r="J88" s="465"/>
      <c r="K88" s="104"/>
      <c r="L88" s="497" t="s">
        <v>253</v>
      </c>
      <c r="M88" s="67">
        <f>IF(J93&lt;D11,0,VLOOKUP(J93,C17:O73,9))</f>
        <v>264116.49895153625</v>
      </c>
      <c r="N88" s="67">
        <f>IF(J93&lt;D11,0,VLOOKUP(J93,C17:O73,11))</f>
        <v>264116.49895153625</v>
      </c>
      <c r="O88" s="498">
        <f>+N88-M88</f>
        <v>0</v>
      </c>
      <c r="P88" s="465"/>
    </row>
    <row r="89" spans="1:16" ht="15.75">
      <c r="C89" s="6"/>
      <c r="D89" s="466"/>
      <c r="E89" s="465"/>
      <c r="F89" s="465"/>
      <c r="G89" s="465"/>
      <c r="H89" s="465"/>
      <c r="I89" s="20"/>
      <c r="J89" s="20"/>
      <c r="K89" s="106"/>
      <c r="L89" s="499" t="s">
        <v>254</v>
      </c>
      <c r="M89" s="69">
        <f>IF(J93&lt;D11,0,VLOOKUP(J93,C100:P155,6))</f>
        <v>499093.06428746786</v>
      </c>
      <c r="N89" s="69">
        <f>IF(J93&lt;D11,0,VLOOKUP(J93,C100:P155,7))</f>
        <v>499093.06428746786</v>
      </c>
      <c r="O89" s="500">
        <f>+N89-M89</f>
        <v>0</v>
      </c>
      <c r="P89" s="465"/>
    </row>
    <row r="90" spans="1:16" ht="13.5" thickBot="1">
      <c r="C90" s="25" t="s">
        <v>82</v>
      </c>
      <c r="D90" s="96" t="str">
        <f>+D7</f>
        <v>Sooner - Wekiwa 345 kV Terminal Upgrades</v>
      </c>
      <c r="E90" s="465"/>
      <c r="F90" s="465"/>
      <c r="G90" s="465"/>
      <c r="H90" s="465"/>
      <c r="I90" s="467"/>
      <c r="J90" s="467"/>
      <c r="K90" s="108"/>
      <c r="L90" s="501" t="s">
        <v>135</v>
      </c>
      <c r="M90" s="72">
        <f>+M89-M88</f>
        <v>234976.56533593161</v>
      </c>
      <c r="N90" s="72">
        <f>+N89-N88</f>
        <v>234976.56533593161</v>
      </c>
      <c r="O90" s="73">
        <f>+O89-O88</f>
        <v>0</v>
      </c>
      <c r="P90" s="465"/>
    </row>
    <row r="91" spans="1:16" ht="13.5" thickBot="1">
      <c r="C91" s="29"/>
      <c r="D91" s="65" t="str">
        <f>IF(D8="","",D8)</f>
        <v/>
      </c>
      <c r="E91" s="480"/>
      <c r="F91" s="480"/>
      <c r="G91" s="480"/>
      <c r="H91" s="472"/>
      <c r="I91" s="467"/>
      <c r="J91" s="467"/>
      <c r="K91" s="468"/>
      <c r="L91" s="467"/>
      <c r="M91" s="467"/>
      <c r="N91" s="467"/>
      <c r="O91" s="468"/>
      <c r="P91" s="465"/>
    </row>
    <row r="92" spans="1:16" ht="13.5" thickBot="1">
      <c r="C92" s="502" t="s">
        <v>83</v>
      </c>
      <c r="D92" s="88" t="str">
        <f>+D9</f>
        <v>TP2019146</v>
      </c>
      <c r="E92" s="75" t="str">
        <f>E9</f>
        <v xml:space="preserve">  SPP Project ID = </v>
      </c>
      <c r="F92" s="75">
        <f>F9</f>
        <v>81561</v>
      </c>
      <c r="G92" s="75"/>
      <c r="H92" s="75"/>
      <c r="I92" s="75"/>
      <c r="J92" s="75"/>
    </row>
    <row r="93" spans="1:16">
      <c r="C93" s="474" t="s">
        <v>49</v>
      </c>
      <c r="D93" s="503">
        <v>6252517.7199999997</v>
      </c>
      <c r="E93" s="465" t="s">
        <v>84</v>
      </c>
      <c r="H93" s="466"/>
      <c r="I93" s="466"/>
      <c r="J93" s="36">
        <v>2025</v>
      </c>
      <c r="K93" s="33"/>
      <c r="L93" s="468" t="s">
        <v>85</v>
      </c>
      <c r="P93" s="465"/>
    </row>
    <row r="94" spans="1:16">
      <c r="C94" s="474" t="s">
        <v>52</v>
      </c>
      <c r="D94" s="504">
        <f>IF(D11="","",D11)</f>
        <v>2025</v>
      </c>
      <c r="E94" s="474" t="s">
        <v>53</v>
      </c>
      <c r="F94" s="466"/>
      <c r="G94" s="466"/>
      <c r="J94" s="475">
        <v>0</v>
      </c>
      <c r="K94" s="476"/>
      <c r="L94" t="str">
        <f>"          INPUT TRUE-UP ARR (WITH &amp; WITHOUT INCENTIVES) FROM EACH PRIOR YEAR"</f>
        <v xml:space="preserve">          INPUT TRUE-UP ARR (WITH &amp; WITHOUT INCENTIVES) FROM EACH PRIOR YEAR</v>
      </c>
      <c r="P94" s="465"/>
    </row>
    <row r="95" spans="1:16">
      <c r="C95" s="474" t="s">
        <v>54</v>
      </c>
      <c r="D95" s="504">
        <f>IF(D12="","",D12)</f>
        <v>6</v>
      </c>
      <c r="E95" s="474" t="s">
        <v>55</v>
      </c>
      <c r="F95" s="466"/>
      <c r="G95" s="466"/>
      <c r="J95" s="477">
        <v>0.11475877389767174</v>
      </c>
      <c r="K95" s="280"/>
      <c r="L95" t="s">
        <v>86</v>
      </c>
      <c r="P95" s="465"/>
    </row>
    <row r="96" spans="1:16">
      <c r="C96" s="474" t="s">
        <v>57</v>
      </c>
      <c r="D96" s="475">
        <v>21</v>
      </c>
      <c r="E96" s="474" t="s">
        <v>58</v>
      </c>
      <c r="F96" s="466"/>
      <c r="G96" s="466"/>
      <c r="J96" s="477">
        <v>0.11475877389767174</v>
      </c>
      <c r="K96" s="280"/>
      <c r="L96" s="468" t="s">
        <v>59</v>
      </c>
      <c r="M96" s="280"/>
      <c r="N96" s="280"/>
      <c r="O96" s="280"/>
      <c r="P96" s="465"/>
    </row>
    <row r="97" spans="1:16" ht="13.5" thickBot="1">
      <c r="C97" s="474" t="s">
        <v>60</v>
      </c>
      <c r="D97" s="505" t="str">
        <f>+D14</f>
        <v>No</v>
      </c>
      <c r="E97" s="506" t="s">
        <v>62</v>
      </c>
      <c r="F97" s="507"/>
      <c r="G97" s="507"/>
      <c r="H97" s="77"/>
      <c r="I97" s="77"/>
      <c r="J97" s="471">
        <f>IF(D93=0,0,D93/D96)</f>
        <v>297738.93904761906</v>
      </c>
      <c r="K97" s="468"/>
      <c r="L97" s="468"/>
      <c r="M97" s="468"/>
      <c r="N97" s="468"/>
      <c r="O97" s="468"/>
      <c r="P97" s="465"/>
    </row>
    <row r="98" spans="1:16" ht="38.25">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c r="B100" t="str">
        <f t="shared" ref="B100:B155" si="16">IF(D100=F99,"","IU")</f>
        <v>IU</v>
      </c>
      <c r="C100" s="479">
        <f>IF(D94= "","-",D94)</f>
        <v>2025</v>
      </c>
      <c r="D100" s="480">
        <f>IF(D94=C100,0,IF(D93&lt;100000,0,D93))</f>
        <v>0</v>
      </c>
      <c r="E100" s="485">
        <f>IF(D93&lt;100000,0,J$97/12*(12-D95))</f>
        <v>148869.46952380953</v>
      </c>
      <c r="F100" s="481">
        <f>IF(D94=C100,+D93-E100,+D100-E100)</f>
        <v>6103648.2504761899</v>
      </c>
      <c r="G100" s="508">
        <f>+(F100+D100)/2</f>
        <v>3051824.1252380949</v>
      </c>
      <c r="H100" s="508">
        <f t="shared" ref="H100:H107" si="17">+J$95*G100+E100</f>
        <v>499093.06428746786</v>
      </c>
      <c r="I100" s="508">
        <f>+J$96*G100+E100</f>
        <v>499093.06428746786</v>
      </c>
      <c r="J100" s="484">
        <f t="shared" ref="J100:J131" si="18">+I100-H100</f>
        <v>0</v>
      </c>
      <c r="K100" s="484"/>
      <c r="L100" s="376">
        <f>+H100</f>
        <v>499093.06428746786</v>
      </c>
      <c r="M100" s="484">
        <f t="shared" ref="M100:M131" si="19">IF(L100&lt;&gt;0,+H100-L100,0)</f>
        <v>0</v>
      </c>
      <c r="N100" s="376">
        <f>+I100</f>
        <v>499093.06428746786</v>
      </c>
      <c r="O100" s="483">
        <f t="shared" ref="O100:O131" si="20">IF(N100&lt;&gt;0,+I100-N100,0)</f>
        <v>0</v>
      </c>
      <c r="P100" s="483">
        <f t="shared" ref="P100:P131" si="21">+O100-M100</f>
        <v>0</v>
      </c>
    </row>
    <row r="101" spans="1:16">
      <c r="B101" t="str">
        <f t="shared" si="16"/>
        <v/>
      </c>
      <c r="C101" s="479">
        <f>IF(D94="","-",+C100+1)</f>
        <v>2026</v>
      </c>
      <c r="D101" s="480">
        <f>IF(F100+SUM(E$100:E100)=D$93,F100,D$93-SUM(E$100:E100))</f>
        <v>6103648.2504761899</v>
      </c>
      <c r="E101" s="377">
        <f t="shared" ref="E101:E155" si="22">IF(+J$97&lt;F100,J$97,D101)</f>
        <v>297738.93904761906</v>
      </c>
      <c r="F101" s="481">
        <f t="shared" ref="F101:F155" si="23">+D101-E101</f>
        <v>5805909.3114285711</v>
      </c>
      <c r="G101" s="481">
        <f t="shared" ref="G101:G155" si="24">+(F101+D101)/2</f>
        <v>5954778.780952381</v>
      </c>
      <c r="H101" s="459">
        <f t="shared" ref="H101:H102" si="25">(D101+F101)/2*J$95+E101</f>
        <v>981102.05078158667</v>
      </c>
      <c r="I101" s="446">
        <f t="shared" ref="I101:I155" si="26">+J$96*G101+E101</f>
        <v>981102.05078158667</v>
      </c>
      <c r="J101" s="484">
        <f t="shared" si="18"/>
        <v>0</v>
      </c>
      <c r="K101" s="484"/>
      <c r="L101" s="112"/>
      <c r="M101" s="484">
        <f t="shared" si="19"/>
        <v>0</v>
      </c>
      <c r="N101" s="112"/>
      <c r="O101" s="484">
        <f t="shared" si="20"/>
        <v>0</v>
      </c>
      <c r="P101" s="484">
        <f t="shared" si="21"/>
        <v>0</v>
      </c>
    </row>
    <row r="102" spans="1:16">
      <c r="B102" t="str">
        <f t="shared" si="16"/>
        <v/>
      </c>
      <c r="C102" s="479">
        <f>IF(D94="","-",+C101+1)</f>
        <v>2027</v>
      </c>
      <c r="D102" s="480">
        <f>IF(F101+SUM(E$100:E101)=D$93,F101,D$93-SUM(E$100:E101))</f>
        <v>5805909.3114285711</v>
      </c>
      <c r="E102" s="377">
        <f t="shared" si="22"/>
        <v>297738.93904761906</v>
      </c>
      <c r="F102" s="481">
        <f t="shared" si="23"/>
        <v>5508170.3723809524</v>
      </c>
      <c r="G102" s="481">
        <f t="shared" si="24"/>
        <v>5657039.8419047613</v>
      </c>
      <c r="H102" s="459">
        <f t="shared" si="25"/>
        <v>946933.89519488811</v>
      </c>
      <c r="I102" s="446">
        <f t="shared" si="26"/>
        <v>946933.89519488811</v>
      </c>
      <c r="J102" s="484">
        <f t="shared" si="18"/>
        <v>0</v>
      </c>
      <c r="K102" s="484"/>
      <c r="L102" s="112"/>
      <c r="M102" s="484">
        <f t="shared" si="19"/>
        <v>0</v>
      </c>
      <c r="N102" s="112"/>
      <c r="O102" s="484">
        <f t="shared" si="20"/>
        <v>0</v>
      </c>
      <c r="P102" s="484">
        <f t="shared" si="21"/>
        <v>0</v>
      </c>
    </row>
    <row r="103" spans="1:16">
      <c r="B103" t="str">
        <f t="shared" si="16"/>
        <v/>
      </c>
      <c r="C103" s="479">
        <f>IF(D94="","-",+C102+1)</f>
        <v>2028</v>
      </c>
      <c r="D103" s="480">
        <f>IF(F102+SUM(E$100:E102)=D$93,F102,D$93-SUM(E$100:E102))</f>
        <v>5508170.3723809524</v>
      </c>
      <c r="E103" s="55">
        <f t="shared" si="22"/>
        <v>297738.93904761906</v>
      </c>
      <c r="F103" s="481">
        <f t="shared" si="23"/>
        <v>5210431.4333333336</v>
      </c>
      <c r="G103" s="481">
        <f t="shared" si="24"/>
        <v>5359300.9028571434</v>
      </c>
      <c r="H103" s="110">
        <f t="shared" si="17"/>
        <v>912765.73960819002</v>
      </c>
      <c r="I103" s="119">
        <f t="shared" si="26"/>
        <v>912765.73960819002</v>
      </c>
      <c r="J103" s="484">
        <f t="shared" si="18"/>
        <v>0</v>
      </c>
      <c r="K103" s="484"/>
      <c r="L103" s="112"/>
      <c r="M103" s="484">
        <f t="shared" si="19"/>
        <v>0</v>
      </c>
      <c r="N103" s="112"/>
      <c r="O103" s="484">
        <f t="shared" si="20"/>
        <v>0</v>
      </c>
      <c r="P103" s="484">
        <f t="shared" si="21"/>
        <v>0</v>
      </c>
    </row>
    <row r="104" spans="1:16">
      <c r="B104" t="str">
        <f t="shared" si="16"/>
        <v/>
      </c>
      <c r="C104" s="479">
        <f>IF(D94="","-",+C103+1)</f>
        <v>2029</v>
      </c>
      <c r="D104" s="480">
        <f>IF(F103+SUM(E$100:E103)=D$93,F103,D$93-SUM(E$100:E103))</f>
        <v>5210431.4333333336</v>
      </c>
      <c r="E104" s="55">
        <f t="shared" si="22"/>
        <v>297738.93904761906</v>
      </c>
      <c r="F104" s="481">
        <f t="shared" si="23"/>
        <v>4912692.4942857148</v>
      </c>
      <c r="G104" s="481">
        <f t="shared" si="24"/>
        <v>5061561.9638095237</v>
      </c>
      <c r="H104" s="110">
        <f t="shared" si="17"/>
        <v>878597.58402149146</v>
      </c>
      <c r="I104" s="119">
        <f t="shared" si="26"/>
        <v>878597.58402149146</v>
      </c>
      <c r="J104" s="484">
        <f t="shared" si="18"/>
        <v>0</v>
      </c>
      <c r="K104" s="484"/>
      <c r="L104" s="112"/>
      <c r="M104" s="484">
        <f t="shared" si="19"/>
        <v>0</v>
      </c>
      <c r="N104" s="112"/>
      <c r="O104" s="484">
        <f t="shared" si="20"/>
        <v>0</v>
      </c>
      <c r="P104" s="484">
        <f t="shared" si="21"/>
        <v>0</v>
      </c>
    </row>
    <row r="105" spans="1:16">
      <c r="B105" t="str">
        <f t="shared" si="16"/>
        <v/>
      </c>
      <c r="C105" s="479">
        <f>IF(D94="","-",+C104+1)</f>
        <v>2030</v>
      </c>
      <c r="D105" s="480">
        <f>IF(F104+SUM(E$100:E104)=D$93,F104,D$93-SUM(E$100:E104))</f>
        <v>4912692.4942857148</v>
      </c>
      <c r="E105" s="55">
        <f t="shared" si="22"/>
        <v>297738.93904761906</v>
      </c>
      <c r="F105" s="481">
        <f t="shared" si="23"/>
        <v>4614953.555238096</v>
      </c>
      <c r="G105" s="481">
        <f t="shared" si="24"/>
        <v>4763823.0247619059</v>
      </c>
      <c r="H105" s="110">
        <f t="shared" si="17"/>
        <v>844429.42843479337</v>
      </c>
      <c r="I105" s="119">
        <f t="shared" si="26"/>
        <v>844429.42843479337</v>
      </c>
      <c r="J105" s="484">
        <f t="shared" si="18"/>
        <v>0</v>
      </c>
      <c r="K105" s="484"/>
      <c r="L105" s="112"/>
      <c r="M105" s="484">
        <f t="shared" si="19"/>
        <v>0</v>
      </c>
      <c r="N105" s="112"/>
      <c r="O105" s="484">
        <f t="shared" si="20"/>
        <v>0</v>
      </c>
      <c r="P105" s="484">
        <f t="shared" si="21"/>
        <v>0</v>
      </c>
    </row>
    <row r="106" spans="1:16">
      <c r="B106" t="str">
        <f t="shared" si="16"/>
        <v/>
      </c>
      <c r="C106" s="479">
        <f>IF(D94="","-",+C105+1)</f>
        <v>2031</v>
      </c>
      <c r="D106" s="480">
        <f>IF(F105+SUM(E$100:E105)=D$93,F105,D$93-SUM(E$100:E105))</f>
        <v>4614953.555238096</v>
      </c>
      <c r="E106" s="55">
        <f t="shared" si="22"/>
        <v>297738.93904761906</v>
      </c>
      <c r="F106" s="481">
        <f t="shared" si="23"/>
        <v>4317214.6161904773</v>
      </c>
      <c r="G106" s="481">
        <f t="shared" si="24"/>
        <v>4466084.0857142862</v>
      </c>
      <c r="H106" s="110">
        <f t="shared" si="17"/>
        <v>810261.27284809481</v>
      </c>
      <c r="I106" s="119">
        <f t="shared" si="26"/>
        <v>810261.27284809481</v>
      </c>
      <c r="J106" s="484">
        <f t="shared" si="18"/>
        <v>0</v>
      </c>
      <c r="K106" s="484"/>
      <c r="L106" s="112"/>
      <c r="M106" s="484">
        <f t="shared" si="19"/>
        <v>0</v>
      </c>
      <c r="N106" s="112"/>
      <c r="O106" s="484">
        <f t="shared" si="20"/>
        <v>0</v>
      </c>
      <c r="P106" s="484">
        <f t="shared" si="21"/>
        <v>0</v>
      </c>
    </row>
    <row r="107" spans="1:16">
      <c r="B107" t="str">
        <f t="shared" si="16"/>
        <v/>
      </c>
      <c r="C107" s="479">
        <f>IF(D94="","-",+C106+1)</f>
        <v>2032</v>
      </c>
      <c r="D107" s="480">
        <f>IF(F106+SUM(E$100:E106)=D$93,F106,D$93-SUM(E$100:E106))</f>
        <v>4317214.6161904773</v>
      </c>
      <c r="E107" s="55">
        <f t="shared" si="22"/>
        <v>297738.93904761906</v>
      </c>
      <c r="F107" s="481">
        <f t="shared" si="23"/>
        <v>4019475.677142858</v>
      </c>
      <c r="G107" s="481">
        <f t="shared" si="24"/>
        <v>4168345.1466666674</v>
      </c>
      <c r="H107" s="110">
        <f t="shared" si="17"/>
        <v>776093.11726139649</v>
      </c>
      <c r="I107" s="119">
        <f t="shared" si="26"/>
        <v>776093.11726139649</v>
      </c>
      <c r="J107" s="484">
        <f t="shared" si="18"/>
        <v>0</v>
      </c>
      <c r="K107" s="484"/>
      <c r="L107" s="112"/>
      <c r="M107" s="484">
        <f t="shared" si="19"/>
        <v>0</v>
      </c>
      <c r="N107" s="112"/>
      <c r="O107" s="484">
        <f t="shared" si="20"/>
        <v>0</v>
      </c>
      <c r="P107" s="484">
        <f t="shared" si="21"/>
        <v>0</v>
      </c>
    </row>
    <row r="108" spans="1:16">
      <c r="B108" t="str">
        <f t="shared" si="16"/>
        <v/>
      </c>
      <c r="C108" s="479">
        <f>IF(D94="","-",+C107+1)</f>
        <v>2033</v>
      </c>
      <c r="D108" s="480">
        <f>IF(F107+SUM(E$100:E107)=D$93,F107,D$93-SUM(E$100:E107))</f>
        <v>4019475.677142858</v>
      </c>
      <c r="E108" s="377">
        <f t="shared" si="22"/>
        <v>297738.93904761906</v>
      </c>
      <c r="F108" s="481">
        <f t="shared" si="23"/>
        <v>3721736.7380952388</v>
      </c>
      <c r="G108" s="481">
        <f t="shared" si="24"/>
        <v>3870606.2076190487</v>
      </c>
      <c r="H108" s="459">
        <f t="shared" ref="H108:H155" si="27">(D108+F108)/2*J$95+E108</f>
        <v>741924.96167469816</v>
      </c>
      <c r="I108" s="446">
        <f t="shared" si="26"/>
        <v>741924.96167469816</v>
      </c>
      <c r="J108" s="484">
        <f t="shared" si="18"/>
        <v>0</v>
      </c>
      <c r="K108" s="484"/>
      <c r="L108" s="112"/>
      <c r="M108" s="484">
        <f t="shared" si="19"/>
        <v>0</v>
      </c>
      <c r="N108" s="112"/>
      <c r="O108" s="484">
        <f t="shared" si="20"/>
        <v>0</v>
      </c>
      <c r="P108" s="484">
        <f t="shared" si="21"/>
        <v>0</v>
      </c>
    </row>
    <row r="109" spans="1:16">
      <c r="B109" t="str">
        <f t="shared" si="16"/>
        <v/>
      </c>
      <c r="C109" s="479">
        <f>IF(D94="","-",+C108+1)</f>
        <v>2034</v>
      </c>
      <c r="D109" s="480">
        <f>IF(F108+SUM(E$100:E108)=D$93,F108,D$93-SUM(E$100:E108))</f>
        <v>3721736.7380952388</v>
      </c>
      <c r="E109" s="377">
        <f t="shared" si="22"/>
        <v>297738.93904761906</v>
      </c>
      <c r="F109" s="481">
        <f t="shared" si="23"/>
        <v>3423997.7990476196</v>
      </c>
      <c r="G109" s="481">
        <f t="shared" si="24"/>
        <v>3572867.268571429</v>
      </c>
      <c r="H109" s="459">
        <f t="shared" si="27"/>
        <v>707756.8060879996</v>
      </c>
      <c r="I109" s="446">
        <f t="shared" si="26"/>
        <v>707756.8060879996</v>
      </c>
      <c r="J109" s="484">
        <f t="shared" si="18"/>
        <v>0</v>
      </c>
      <c r="K109" s="484"/>
      <c r="L109" s="112"/>
      <c r="M109" s="484">
        <f t="shared" si="19"/>
        <v>0</v>
      </c>
      <c r="N109" s="112"/>
      <c r="O109" s="484">
        <f t="shared" si="20"/>
        <v>0</v>
      </c>
      <c r="P109" s="484">
        <f t="shared" si="21"/>
        <v>0</v>
      </c>
    </row>
    <row r="110" spans="1:16">
      <c r="B110" t="str">
        <f t="shared" si="16"/>
        <v/>
      </c>
      <c r="C110" s="479">
        <f>IF(D94="","-",+C109+1)</f>
        <v>2035</v>
      </c>
      <c r="D110" s="480">
        <f>IF(F109+SUM(E$100:E109)=D$93,F109,D$93-SUM(E$100:E109))</f>
        <v>3423997.7990476196</v>
      </c>
      <c r="E110" s="377">
        <f t="shared" si="22"/>
        <v>297738.93904761906</v>
      </c>
      <c r="F110" s="481">
        <f t="shared" si="23"/>
        <v>3126258.8600000003</v>
      </c>
      <c r="G110" s="481">
        <f t="shared" si="24"/>
        <v>3275128.3295238102</v>
      </c>
      <c r="H110" s="459">
        <f t="shared" si="27"/>
        <v>673588.65050130128</v>
      </c>
      <c r="I110" s="446">
        <f t="shared" si="26"/>
        <v>673588.65050130128</v>
      </c>
      <c r="J110" s="484">
        <f t="shared" si="18"/>
        <v>0</v>
      </c>
      <c r="K110" s="484"/>
      <c r="L110" s="112"/>
      <c r="M110" s="484">
        <f t="shared" si="19"/>
        <v>0</v>
      </c>
      <c r="N110" s="112"/>
      <c r="O110" s="484">
        <f t="shared" si="20"/>
        <v>0</v>
      </c>
      <c r="P110" s="484">
        <f t="shared" si="21"/>
        <v>0</v>
      </c>
    </row>
    <row r="111" spans="1:16">
      <c r="B111" t="str">
        <f t="shared" si="16"/>
        <v/>
      </c>
      <c r="C111" s="479">
        <f>IF(D94="","-",+C110+1)</f>
        <v>2036</v>
      </c>
      <c r="D111" s="480">
        <f>IF(F110+SUM(E$100:E110)=D$93,F110,D$93-SUM(E$100:E110))</f>
        <v>3126258.8600000003</v>
      </c>
      <c r="E111" s="377">
        <f t="shared" si="22"/>
        <v>297738.93904761906</v>
      </c>
      <c r="F111" s="481">
        <f t="shared" si="23"/>
        <v>2828519.9209523811</v>
      </c>
      <c r="G111" s="481">
        <f t="shared" si="24"/>
        <v>2977389.3904761905</v>
      </c>
      <c r="H111" s="459">
        <f t="shared" si="27"/>
        <v>639420.49491460295</v>
      </c>
      <c r="I111" s="446">
        <f t="shared" si="26"/>
        <v>639420.49491460295</v>
      </c>
      <c r="J111" s="484">
        <f t="shared" si="18"/>
        <v>0</v>
      </c>
      <c r="K111" s="484"/>
      <c r="L111" s="112"/>
      <c r="M111" s="484">
        <f t="shared" si="19"/>
        <v>0</v>
      </c>
      <c r="N111" s="112"/>
      <c r="O111" s="484">
        <f t="shared" si="20"/>
        <v>0</v>
      </c>
      <c r="P111" s="484">
        <f t="shared" si="21"/>
        <v>0</v>
      </c>
    </row>
    <row r="112" spans="1:16">
      <c r="B112" t="str">
        <f t="shared" si="16"/>
        <v/>
      </c>
      <c r="C112" s="479">
        <f>IF(D94="","-",+C111+1)</f>
        <v>2037</v>
      </c>
      <c r="D112" s="480">
        <f>IF(F111+SUM(E$100:E111)=D$93,F111,D$93-SUM(E$100:E111))</f>
        <v>2828519.9209523811</v>
      </c>
      <c r="E112" s="377">
        <f t="shared" si="22"/>
        <v>297738.93904761906</v>
      </c>
      <c r="F112" s="481">
        <f t="shared" si="23"/>
        <v>2530780.9819047619</v>
      </c>
      <c r="G112" s="481">
        <f t="shared" si="24"/>
        <v>2679650.4514285717</v>
      </c>
      <c r="H112" s="459">
        <f t="shared" si="27"/>
        <v>605252.33932790451</v>
      </c>
      <c r="I112" s="446">
        <f t="shared" si="26"/>
        <v>605252.33932790451</v>
      </c>
      <c r="J112" s="484">
        <f t="shared" si="18"/>
        <v>0</v>
      </c>
      <c r="K112" s="484"/>
      <c r="L112" s="112"/>
      <c r="M112" s="484">
        <f t="shared" si="19"/>
        <v>0</v>
      </c>
      <c r="N112" s="112"/>
      <c r="O112" s="484">
        <f t="shared" si="20"/>
        <v>0</v>
      </c>
      <c r="P112" s="484">
        <f t="shared" si="21"/>
        <v>0</v>
      </c>
    </row>
    <row r="113" spans="2:16">
      <c r="B113" t="str">
        <f t="shared" si="16"/>
        <v/>
      </c>
      <c r="C113" s="479">
        <f>IF(D94="","-",+C112+1)</f>
        <v>2038</v>
      </c>
      <c r="D113" s="480">
        <f>IF(F112+SUM(E$100:E112)=D$93,F112,D$93-SUM(E$100:E112))</f>
        <v>2530780.9819047619</v>
      </c>
      <c r="E113" s="377">
        <f t="shared" si="22"/>
        <v>297738.93904761906</v>
      </c>
      <c r="F113" s="481">
        <f t="shared" si="23"/>
        <v>2233042.0428571426</v>
      </c>
      <c r="G113" s="481">
        <f t="shared" si="24"/>
        <v>2381911.512380952</v>
      </c>
      <c r="H113" s="459">
        <f t="shared" si="27"/>
        <v>571084.18374120607</v>
      </c>
      <c r="I113" s="446">
        <f t="shared" si="26"/>
        <v>571084.18374120607</v>
      </c>
      <c r="J113" s="484">
        <f t="shared" si="18"/>
        <v>0</v>
      </c>
      <c r="K113" s="484"/>
      <c r="L113" s="112"/>
      <c r="M113" s="484">
        <f t="shared" si="19"/>
        <v>0</v>
      </c>
      <c r="N113" s="112"/>
      <c r="O113" s="484">
        <f t="shared" si="20"/>
        <v>0</v>
      </c>
      <c r="P113" s="484">
        <f t="shared" si="21"/>
        <v>0</v>
      </c>
    </row>
    <row r="114" spans="2:16">
      <c r="B114" t="str">
        <f t="shared" si="16"/>
        <v/>
      </c>
      <c r="C114" s="479">
        <f>IF(D94="","-",+C113+1)</f>
        <v>2039</v>
      </c>
      <c r="D114" s="480">
        <f>IF(F113+SUM(E$100:E113)=D$93,F113,D$93-SUM(E$100:E113))</f>
        <v>2233042.0428571426</v>
      </c>
      <c r="E114" s="377">
        <f t="shared" si="22"/>
        <v>297738.93904761906</v>
      </c>
      <c r="F114" s="481">
        <f t="shared" si="23"/>
        <v>1935303.1038095236</v>
      </c>
      <c r="G114" s="481">
        <f t="shared" si="24"/>
        <v>2084172.5733333332</v>
      </c>
      <c r="H114" s="459">
        <f t="shared" si="27"/>
        <v>536916.02815450775</v>
      </c>
      <c r="I114" s="446">
        <f t="shared" si="26"/>
        <v>536916.02815450775</v>
      </c>
      <c r="J114" s="484">
        <f t="shared" si="18"/>
        <v>0</v>
      </c>
      <c r="K114" s="484"/>
      <c r="L114" s="112"/>
      <c r="M114" s="484">
        <f t="shared" si="19"/>
        <v>0</v>
      </c>
      <c r="N114" s="112"/>
      <c r="O114" s="484">
        <f t="shared" si="20"/>
        <v>0</v>
      </c>
      <c r="P114" s="484">
        <f t="shared" si="21"/>
        <v>0</v>
      </c>
    </row>
    <row r="115" spans="2:16">
      <c r="B115" t="str">
        <f t="shared" si="16"/>
        <v/>
      </c>
      <c r="C115" s="479">
        <f>IF(D94="","-",+C114+1)</f>
        <v>2040</v>
      </c>
      <c r="D115" s="480">
        <f>IF(F114+SUM(E$100:E114)=D$93,F114,D$93-SUM(E$100:E114))</f>
        <v>1935303.1038095236</v>
      </c>
      <c r="E115" s="377">
        <f t="shared" si="22"/>
        <v>297738.93904761906</v>
      </c>
      <c r="F115" s="481">
        <f t="shared" si="23"/>
        <v>1637564.1647619046</v>
      </c>
      <c r="G115" s="481">
        <f t="shared" si="24"/>
        <v>1786433.634285714</v>
      </c>
      <c r="H115" s="459">
        <f t="shared" si="27"/>
        <v>502747.8725678093</v>
      </c>
      <c r="I115" s="446">
        <f t="shared" si="26"/>
        <v>502747.8725678093</v>
      </c>
      <c r="J115" s="484">
        <f t="shared" si="18"/>
        <v>0</v>
      </c>
      <c r="K115" s="484"/>
      <c r="L115" s="112"/>
      <c r="M115" s="484">
        <f t="shared" si="19"/>
        <v>0</v>
      </c>
      <c r="N115" s="112"/>
      <c r="O115" s="484">
        <f t="shared" si="20"/>
        <v>0</v>
      </c>
      <c r="P115" s="484">
        <f t="shared" si="21"/>
        <v>0</v>
      </c>
    </row>
    <row r="116" spans="2:16">
      <c r="B116" t="str">
        <f t="shared" si="16"/>
        <v/>
      </c>
      <c r="C116" s="479">
        <f>IF(D94="","-",+C115+1)</f>
        <v>2041</v>
      </c>
      <c r="D116" s="480">
        <f>IF(F115+SUM(E$100:E115)=D$93,F115,D$93-SUM(E$100:E115))</f>
        <v>1637564.1647619046</v>
      </c>
      <c r="E116" s="377">
        <f t="shared" si="22"/>
        <v>297738.93904761906</v>
      </c>
      <c r="F116" s="481">
        <f t="shared" si="23"/>
        <v>1339825.2257142856</v>
      </c>
      <c r="G116" s="481">
        <f t="shared" si="24"/>
        <v>1488694.6952380952</v>
      </c>
      <c r="H116" s="459">
        <f t="shared" si="27"/>
        <v>468579.71698111098</v>
      </c>
      <c r="I116" s="446">
        <f t="shared" si="26"/>
        <v>468579.71698111098</v>
      </c>
      <c r="J116" s="484">
        <f t="shared" si="18"/>
        <v>0</v>
      </c>
      <c r="K116" s="484"/>
      <c r="L116" s="112"/>
      <c r="M116" s="484">
        <f t="shared" si="19"/>
        <v>0</v>
      </c>
      <c r="N116" s="112"/>
      <c r="O116" s="484">
        <f t="shared" si="20"/>
        <v>0</v>
      </c>
      <c r="P116" s="484">
        <f t="shared" si="21"/>
        <v>0</v>
      </c>
    </row>
    <row r="117" spans="2:16">
      <c r="B117" t="str">
        <f t="shared" si="16"/>
        <v/>
      </c>
      <c r="C117" s="479">
        <f>IF(D94="","-",+C116+1)</f>
        <v>2042</v>
      </c>
      <c r="D117" s="480">
        <f>IF(F116+SUM(E$100:E116)=D$93,F116,D$93-SUM(E$100:E116))</f>
        <v>1339825.2257142856</v>
      </c>
      <c r="E117" s="377">
        <f t="shared" si="22"/>
        <v>297738.93904761906</v>
      </c>
      <c r="F117" s="481">
        <f t="shared" si="23"/>
        <v>1042086.2866666666</v>
      </c>
      <c r="G117" s="481">
        <f t="shared" si="24"/>
        <v>1190955.756190476</v>
      </c>
      <c r="H117" s="459">
        <f t="shared" si="27"/>
        <v>434411.56139441254</v>
      </c>
      <c r="I117" s="446">
        <f t="shared" si="26"/>
        <v>434411.56139441254</v>
      </c>
      <c r="J117" s="484">
        <f t="shared" si="18"/>
        <v>0</v>
      </c>
      <c r="K117" s="484"/>
      <c r="L117" s="112"/>
      <c r="M117" s="484">
        <f t="shared" si="19"/>
        <v>0</v>
      </c>
      <c r="N117" s="112"/>
      <c r="O117" s="484">
        <f t="shared" si="20"/>
        <v>0</v>
      </c>
      <c r="P117" s="484">
        <f t="shared" si="21"/>
        <v>0</v>
      </c>
    </row>
    <row r="118" spans="2:16">
      <c r="B118" t="str">
        <f t="shared" si="16"/>
        <v/>
      </c>
      <c r="C118" s="479">
        <f>IF(D94="","-",+C117+1)</f>
        <v>2043</v>
      </c>
      <c r="D118" s="480">
        <f>IF(F117+SUM(E$100:E117)=D$93,F117,D$93-SUM(E$100:E117))</f>
        <v>1042086.2866666666</v>
      </c>
      <c r="E118" s="377">
        <f t="shared" si="22"/>
        <v>297738.93904761906</v>
      </c>
      <c r="F118" s="481">
        <f t="shared" si="23"/>
        <v>744347.34761904762</v>
      </c>
      <c r="G118" s="481">
        <f t="shared" si="24"/>
        <v>893216.81714285712</v>
      </c>
      <c r="H118" s="459">
        <f t="shared" si="27"/>
        <v>400243.40580771421</v>
      </c>
      <c r="I118" s="446">
        <f t="shared" si="26"/>
        <v>400243.40580771421</v>
      </c>
      <c r="J118" s="484">
        <f t="shared" si="18"/>
        <v>0</v>
      </c>
      <c r="K118" s="484"/>
      <c r="L118" s="112"/>
      <c r="M118" s="484">
        <f t="shared" si="19"/>
        <v>0</v>
      </c>
      <c r="N118" s="112"/>
      <c r="O118" s="484">
        <f t="shared" si="20"/>
        <v>0</v>
      </c>
      <c r="P118" s="484">
        <f t="shared" si="21"/>
        <v>0</v>
      </c>
    </row>
    <row r="119" spans="2:16">
      <c r="B119" t="str">
        <f t="shared" si="16"/>
        <v/>
      </c>
      <c r="C119" s="479">
        <f>IF(D94="","-",+C118+1)</f>
        <v>2044</v>
      </c>
      <c r="D119" s="480">
        <f>IF(F118+SUM(E$100:E118)=D$93,F118,D$93-SUM(E$100:E118))</f>
        <v>744347.34761904762</v>
      </c>
      <c r="E119" s="377">
        <f t="shared" si="22"/>
        <v>297738.93904761906</v>
      </c>
      <c r="F119" s="481">
        <f t="shared" si="23"/>
        <v>446608.40857142856</v>
      </c>
      <c r="G119" s="481">
        <f t="shared" si="24"/>
        <v>595477.87809523812</v>
      </c>
      <c r="H119" s="459">
        <f t="shared" si="27"/>
        <v>366075.25022101583</v>
      </c>
      <c r="I119" s="446">
        <f t="shared" si="26"/>
        <v>366075.25022101583</v>
      </c>
      <c r="J119" s="484">
        <f t="shared" si="18"/>
        <v>0</v>
      </c>
      <c r="K119" s="484"/>
      <c r="L119" s="112"/>
      <c r="M119" s="484">
        <f t="shared" si="19"/>
        <v>0</v>
      </c>
      <c r="N119" s="112"/>
      <c r="O119" s="484">
        <f t="shared" si="20"/>
        <v>0</v>
      </c>
      <c r="P119" s="484">
        <f t="shared" si="21"/>
        <v>0</v>
      </c>
    </row>
    <row r="120" spans="2:16">
      <c r="B120" t="str">
        <f t="shared" si="16"/>
        <v/>
      </c>
      <c r="C120" s="479">
        <f>IF(D94="","-",+C119+1)</f>
        <v>2045</v>
      </c>
      <c r="D120" s="480">
        <f>IF(F119+SUM(E$100:E119)=D$93,F119,D$93-SUM(E$100:E119))</f>
        <v>446608.40857142856</v>
      </c>
      <c r="E120" s="377">
        <f t="shared" si="22"/>
        <v>297738.93904761906</v>
      </c>
      <c r="F120" s="481">
        <f t="shared" si="23"/>
        <v>148869.4695238095</v>
      </c>
      <c r="G120" s="481">
        <f t="shared" si="24"/>
        <v>297738.939047619</v>
      </c>
      <c r="H120" s="459">
        <f t="shared" si="27"/>
        <v>331907.09463431744</v>
      </c>
      <c r="I120" s="446">
        <f t="shared" si="26"/>
        <v>331907.09463431744</v>
      </c>
      <c r="J120" s="484">
        <f t="shared" si="18"/>
        <v>0</v>
      </c>
      <c r="K120" s="484"/>
      <c r="L120" s="112"/>
      <c r="M120" s="484">
        <f t="shared" si="19"/>
        <v>0</v>
      </c>
      <c r="N120" s="112"/>
      <c r="O120" s="484">
        <f t="shared" si="20"/>
        <v>0</v>
      </c>
      <c r="P120" s="484">
        <f t="shared" si="21"/>
        <v>0</v>
      </c>
    </row>
    <row r="121" spans="2:16">
      <c r="B121" t="str">
        <f t="shared" si="16"/>
        <v/>
      </c>
      <c r="C121" s="479">
        <f>IF(D94="","-",+C120+1)</f>
        <v>2046</v>
      </c>
      <c r="D121" s="480">
        <f>IF(F120+SUM(E$100:E120)=D$93,F120,D$93-SUM(E$100:E120))</f>
        <v>148869.4695238095</v>
      </c>
      <c r="E121" s="377">
        <f t="shared" si="22"/>
        <v>148869.4695238095</v>
      </c>
      <c r="F121" s="481">
        <f t="shared" si="23"/>
        <v>0</v>
      </c>
      <c r="G121" s="481">
        <f t="shared" si="24"/>
        <v>74434.73476190475</v>
      </c>
      <c r="H121" s="459">
        <f t="shared" si="27"/>
        <v>157411.50842048408</v>
      </c>
      <c r="I121" s="446">
        <f t="shared" si="26"/>
        <v>157411.50842048408</v>
      </c>
      <c r="J121" s="484">
        <f t="shared" si="18"/>
        <v>0</v>
      </c>
      <c r="K121" s="484"/>
      <c r="L121" s="112"/>
      <c r="M121" s="484">
        <f t="shared" si="19"/>
        <v>0</v>
      </c>
      <c r="N121" s="112"/>
      <c r="O121" s="484">
        <f t="shared" si="20"/>
        <v>0</v>
      </c>
      <c r="P121" s="484">
        <f t="shared" si="21"/>
        <v>0</v>
      </c>
    </row>
    <row r="122" spans="2:16">
      <c r="B122" t="str">
        <f t="shared" si="16"/>
        <v/>
      </c>
      <c r="C122" s="479">
        <f>IF(D94="","-",+C121+1)</f>
        <v>2047</v>
      </c>
      <c r="D122" s="480">
        <f>IF(F121+SUM(E$100:E121)=D$93,F121,D$93-SUM(E$100:E121))</f>
        <v>0</v>
      </c>
      <c r="E122" s="377">
        <f t="shared" si="22"/>
        <v>0</v>
      </c>
      <c r="F122" s="481">
        <f t="shared" si="23"/>
        <v>0</v>
      </c>
      <c r="G122" s="481">
        <f t="shared" si="24"/>
        <v>0</v>
      </c>
      <c r="H122" s="459">
        <f t="shared" si="27"/>
        <v>0</v>
      </c>
      <c r="I122" s="446">
        <f t="shared" si="26"/>
        <v>0</v>
      </c>
      <c r="J122" s="484">
        <f t="shared" si="18"/>
        <v>0</v>
      </c>
      <c r="K122" s="484"/>
      <c r="L122" s="112"/>
      <c r="M122" s="484">
        <f t="shared" si="19"/>
        <v>0</v>
      </c>
      <c r="N122" s="112"/>
      <c r="O122" s="484">
        <f t="shared" si="20"/>
        <v>0</v>
      </c>
      <c r="P122" s="484">
        <f t="shared" si="21"/>
        <v>0</v>
      </c>
    </row>
    <row r="123" spans="2:16">
      <c r="B123" t="str">
        <f t="shared" si="16"/>
        <v/>
      </c>
      <c r="C123" s="479">
        <f>IF(D94="","-",+C122+1)</f>
        <v>2048</v>
      </c>
      <c r="D123" s="480">
        <f>IF(F122+SUM(E$100:E122)=D$93,F122,D$93-SUM(E$100:E122))</f>
        <v>0</v>
      </c>
      <c r="E123" s="377">
        <f t="shared" si="22"/>
        <v>0</v>
      </c>
      <c r="F123" s="481">
        <f t="shared" si="23"/>
        <v>0</v>
      </c>
      <c r="G123" s="481">
        <f t="shared" si="24"/>
        <v>0</v>
      </c>
      <c r="H123" s="459">
        <f t="shared" si="27"/>
        <v>0</v>
      </c>
      <c r="I123" s="446">
        <f t="shared" si="26"/>
        <v>0</v>
      </c>
      <c r="J123" s="484">
        <f t="shared" si="18"/>
        <v>0</v>
      </c>
      <c r="K123" s="484"/>
      <c r="L123" s="112"/>
      <c r="M123" s="484">
        <f t="shared" si="19"/>
        <v>0</v>
      </c>
      <c r="N123" s="112"/>
      <c r="O123" s="484">
        <f t="shared" si="20"/>
        <v>0</v>
      </c>
      <c r="P123" s="484">
        <f t="shared" si="21"/>
        <v>0</v>
      </c>
    </row>
    <row r="124" spans="2:16">
      <c r="B124" t="str">
        <f t="shared" si="16"/>
        <v/>
      </c>
      <c r="C124" s="479">
        <f>IF(D94="","-",+C123+1)</f>
        <v>2049</v>
      </c>
      <c r="D124" s="480">
        <f>IF(F123+SUM(E$100:E123)=D$93,F123,D$93-SUM(E$100:E123))</f>
        <v>0</v>
      </c>
      <c r="E124" s="377">
        <f t="shared" si="22"/>
        <v>0</v>
      </c>
      <c r="F124" s="481">
        <f t="shared" si="23"/>
        <v>0</v>
      </c>
      <c r="G124" s="481">
        <f t="shared" si="24"/>
        <v>0</v>
      </c>
      <c r="H124" s="459">
        <f t="shared" si="27"/>
        <v>0</v>
      </c>
      <c r="I124" s="446">
        <f t="shared" si="26"/>
        <v>0</v>
      </c>
      <c r="J124" s="484">
        <f t="shared" si="18"/>
        <v>0</v>
      </c>
      <c r="K124" s="484"/>
      <c r="L124" s="112"/>
      <c r="M124" s="484">
        <f t="shared" si="19"/>
        <v>0</v>
      </c>
      <c r="N124" s="112"/>
      <c r="O124" s="484">
        <f t="shared" si="20"/>
        <v>0</v>
      </c>
      <c r="P124" s="484">
        <f t="shared" si="21"/>
        <v>0</v>
      </c>
    </row>
    <row r="125" spans="2:16">
      <c r="B125" t="str">
        <f t="shared" si="16"/>
        <v/>
      </c>
      <c r="C125" s="479">
        <f>IF(D94="","-",+C124+1)</f>
        <v>2050</v>
      </c>
      <c r="D125" s="480">
        <f>IF(F124+SUM(E$100:E124)=D$93,F124,D$93-SUM(E$100:E124))</f>
        <v>0</v>
      </c>
      <c r="E125" s="377">
        <f t="shared" si="22"/>
        <v>0</v>
      </c>
      <c r="F125" s="481">
        <f t="shared" si="23"/>
        <v>0</v>
      </c>
      <c r="G125" s="481">
        <f t="shared" si="24"/>
        <v>0</v>
      </c>
      <c r="H125" s="459">
        <f t="shared" si="27"/>
        <v>0</v>
      </c>
      <c r="I125" s="446">
        <f t="shared" si="26"/>
        <v>0</v>
      </c>
      <c r="J125" s="484">
        <f t="shared" si="18"/>
        <v>0</v>
      </c>
      <c r="K125" s="484"/>
      <c r="L125" s="112"/>
      <c r="M125" s="484">
        <f t="shared" si="19"/>
        <v>0</v>
      </c>
      <c r="N125" s="112"/>
      <c r="O125" s="484">
        <f t="shared" si="20"/>
        <v>0</v>
      </c>
      <c r="P125" s="484">
        <f t="shared" si="21"/>
        <v>0</v>
      </c>
    </row>
    <row r="126" spans="2:16">
      <c r="B126" t="str">
        <f t="shared" si="16"/>
        <v/>
      </c>
      <c r="C126" s="479">
        <f>IF(D94="","-",+C125+1)</f>
        <v>2051</v>
      </c>
      <c r="D126" s="480">
        <f>IF(F125+SUM(E$100:E125)=D$93,F125,D$93-SUM(E$100:E125))</f>
        <v>0</v>
      </c>
      <c r="E126" s="377">
        <f t="shared" si="22"/>
        <v>0</v>
      </c>
      <c r="F126" s="481">
        <f t="shared" si="23"/>
        <v>0</v>
      </c>
      <c r="G126" s="481">
        <f t="shared" si="24"/>
        <v>0</v>
      </c>
      <c r="H126" s="459">
        <f t="shared" si="27"/>
        <v>0</v>
      </c>
      <c r="I126" s="446">
        <f t="shared" si="26"/>
        <v>0</v>
      </c>
      <c r="J126" s="484">
        <f t="shared" si="18"/>
        <v>0</v>
      </c>
      <c r="K126" s="484"/>
      <c r="L126" s="112"/>
      <c r="M126" s="484">
        <f t="shared" si="19"/>
        <v>0</v>
      </c>
      <c r="N126" s="112"/>
      <c r="O126" s="484">
        <f t="shared" si="20"/>
        <v>0</v>
      </c>
      <c r="P126" s="484">
        <f t="shared" si="21"/>
        <v>0</v>
      </c>
    </row>
    <row r="127" spans="2:16">
      <c r="B127" t="str">
        <f t="shared" si="16"/>
        <v/>
      </c>
      <c r="C127" s="479">
        <f>IF(D94="","-",+C126+1)</f>
        <v>2052</v>
      </c>
      <c r="D127" s="480">
        <f>IF(F126+SUM(E$100:E126)=D$93,F126,D$93-SUM(E$100:E126))</f>
        <v>0</v>
      </c>
      <c r="E127" s="377">
        <f t="shared" si="22"/>
        <v>0</v>
      </c>
      <c r="F127" s="481">
        <f t="shared" si="23"/>
        <v>0</v>
      </c>
      <c r="G127" s="481">
        <f t="shared" si="24"/>
        <v>0</v>
      </c>
      <c r="H127" s="459">
        <f t="shared" si="27"/>
        <v>0</v>
      </c>
      <c r="I127" s="446">
        <f t="shared" si="26"/>
        <v>0</v>
      </c>
      <c r="J127" s="484">
        <f t="shared" si="18"/>
        <v>0</v>
      </c>
      <c r="K127" s="484"/>
      <c r="L127" s="112"/>
      <c r="M127" s="484">
        <f t="shared" si="19"/>
        <v>0</v>
      </c>
      <c r="N127" s="112"/>
      <c r="O127" s="484">
        <f t="shared" si="20"/>
        <v>0</v>
      </c>
      <c r="P127" s="484">
        <f t="shared" si="21"/>
        <v>0</v>
      </c>
    </row>
    <row r="128" spans="2:16">
      <c r="B128" t="str">
        <f t="shared" si="16"/>
        <v/>
      </c>
      <c r="C128" s="479">
        <f>IF(D94="","-",+C127+1)</f>
        <v>2053</v>
      </c>
      <c r="D128" s="480">
        <f>IF(F127+SUM(E$100:E127)=D$93,F127,D$93-SUM(E$100:E127))</f>
        <v>0</v>
      </c>
      <c r="E128" s="377">
        <f t="shared" si="22"/>
        <v>0</v>
      </c>
      <c r="F128" s="481">
        <f t="shared" si="23"/>
        <v>0</v>
      </c>
      <c r="G128" s="481">
        <f t="shared" si="24"/>
        <v>0</v>
      </c>
      <c r="H128" s="459">
        <f t="shared" si="27"/>
        <v>0</v>
      </c>
      <c r="I128" s="446">
        <f t="shared" si="26"/>
        <v>0</v>
      </c>
      <c r="J128" s="484">
        <f t="shared" si="18"/>
        <v>0</v>
      </c>
      <c r="K128" s="484"/>
      <c r="L128" s="112"/>
      <c r="M128" s="484">
        <f t="shared" si="19"/>
        <v>0</v>
      </c>
      <c r="N128" s="112"/>
      <c r="O128" s="484">
        <f t="shared" si="20"/>
        <v>0</v>
      </c>
      <c r="P128" s="484">
        <f t="shared" si="21"/>
        <v>0</v>
      </c>
    </row>
    <row r="129" spans="2:16">
      <c r="B129" t="str">
        <f t="shared" si="16"/>
        <v/>
      </c>
      <c r="C129" s="479">
        <f>IF(D94="","-",+C128+1)</f>
        <v>2054</v>
      </c>
      <c r="D129" s="480">
        <f>IF(F128+SUM(E$100:E128)=D$93,F128,D$93-SUM(E$100:E128))</f>
        <v>0</v>
      </c>
      <c r="E129" s="377">
        <f t="shared" si="22"/>
        <v>0</v>
      </c>
      <c r="F129" s="481">
        <f t="shared" si="23"/>
        <v>0</v>
      </c>
      <c r="G129" s="481">
        <f t="shared" si="24"/>
        <v>0</v>
      </c>
      <c r="H129" s="459">
        <f t="shared" si="27"/>
        <v>0</v>
      </c>
      <c r="I129" s="446">
        <f t="shared" si="26"/>
        <v>0</v>
      </c>
      <c r="J129" s="484">
        <f t="shared" si="18"/>
        <v>0</v>
      </c>
      <c r="K129" s="484"/>
      <c r="L129" s="112"/>
      <c r="M129" s="484">
        <f t="shared" si="19"/>
        <v>0</v>
      </c>
      <c r="N129" s="112"/>
      <c r="O129" s="484">
        <f t="shared" si="20"/>
        <v>0</v>
      </c>
      <c r="P129" s="484">
        <f t="shared" si="21"/>
        <v>0</v>
      </c>
    </row>
    <row r="130" spans="2:16">
      <c r="B130" t="str">
        <f t="shared" si="16"/>
        <v/>
      </c>
      <c r="C130" s="479">
        <f>IF(D94="","-",+C129+1)</f>
        <v>2055</v>
      </c>
      <c r="D130" s="480">
        <f>IF(F129+SUM(E$100:E129)=D$93,F129,D$93-SUM(E$100:E129))</f>
        <v>0</v>
      </c>
      <c r="E130" s="377">
        <f t="shared" si="22"/>
        <v>0</v>
      </c>
      <c r="F130" s="481">
        <f t="shared" si="23"/>
        <v>0</v>
      </c>
      <c r="G130" s="481">
        <f t="shared" si="24"/>
        <v>0</v>
      </c>
      <c r="H130" s="459">
        <f t="shared" si="27"/>
        <v>0</v>
      </c>
      <c r="I130" s="446">
        <f t="shared" si="26"/>
        <v>0</v>
      </c>
      <c r="J130" s="484">
        <f t="shared" si="18"/>
        <v>0</v>
      </c>
      <c r="K130" s="484"/>
      <c r="L130" s="112"/>
      <c r="M130" s="484">
        <f t="shared" si="19"/>
        <v>0</v>
      </c>
      <c r="N130" s="112"/>
      <c r="O130" s="484">
        <f t="shared" si="20"/>
        <v>0</v>
      </c>
      <c r="P130" s="484">
        <f t="shared" si="21"/>
        <v>0</v>
      </c>
    </row>
    <row r="131" spans="2:16">
      <c r="B131" t="str">
        <f t="shared" si="16"/>
        <v/>
      </c>
      <c r="C131" s="479">
        <f>IF(D94="","-",+C130+1)</f>
        <v>2056</v>
      </c>
      <c r="D131" s="480">
        <f>IF(F130+SUM(E$100:E130)=D$93,F130,D$93-SUM(E$100:E130))</f>
        <v>0</v>
      </c>
      <c r="E131" s="377">
        <f t="shared" si="22"/>
        <v>0</v>
      </c>
      <c r="F131" s="481">
        <f t="shared" si="23"/>
        <v>0</v>
      </c>
      <c r="G131" s="481">
        <f t="shared" si="24"/>
        <v>0</v>
      </c>
      <c r="H131" s="459">
        <f t="shared" si="27"/>
        <v>0</v>
      </c>
      <c r="I131" s="446">
        <f t="shared" si="26"/>
        <v>0</v>
      </c>
      <c r="J131" s="484">
        <f t="shared" si="18"/>
        <v>0</v>
      </c>
      <c r="K131" s="484"/>
      <c r="L131" s="112"/>
      <c r="M131" s="484">
        <f t="shared" si="19"/>
        <v>0</v>
      </c>
      <c r="N131" s="112"/>
      <c r="O131" s="484">
        <f t="shared" si="20"/>
        <v>0</v>
      </c>
      <c r="P131" s="484">
        <f t="shared" si="21"/>
        <v>0</v>
      </c>
    </row>
    <row r="132" spans="2:16">
      <c r="B132" t="str">
        <f t="shared" si="16"/>
        <v/>
      </c>
      <c r="C132" s="479">
        <f>IF(D94="","-",+C131+1)</f>
        <v>2057</v>
      </c>
      <c r="D132" s="480">
        <f>IF(F131+SUM(E$100:E131)=D$93,F131,D$93-SUM(E$100:E131))</f>
        <v>0</v>
      </c>
      <c r="E132" s="377">
        <f t="shared" si="22"/>
        <v>0</v>
      </c>
      <c r="F132" s="481">
        <f t="shared" si="23"/>
        <v>0</v>
      </c>
      <c r="G132" s="481">
        <f t="shared" si="24"/>
        <v>0</v>
      </c>
      <c r="H132" s="459">
        <f t="shared" si="27"/>
        <v>0</v>
      </c>
      <c r="I132" s="446">
        <f t="shared" si="26"/>
        <v>0</v>
      </c>
      <c r="J132" s="484">
        <f t="shared" ref="J132:J155" si="28">+I542-H542</f>
        <v>0</v>
      </c>
      <c r="K132" s="484"/>
      <c r="L132" s="112"/>
      <c r="M132" s="484">
        <f t="shared" ref="M132:M155" si="29">IF(L542&lt;&gt;0,+H542-L542,0)</f>
        <v>0</v>
      </c>
      <c r="N132" s="112"/>
      <c r="O132" s="484">
        <f t="shared" ref="O132:O155" si="30">IF(N542&lt;&gt;0,+I542-N542,0)</f>
        <v>0</v>
      </c>
      <c r="P132" s="484">
        <f t="shared" ref="P132:P155" si="31">+O542-M542</f>
        <v>0</v>
      </c>
    </row>
    <row r="133" spans="2:16">
      <c r="B133" t="str">
        <f t="shared" si="16"/>
        <v/>
      </c>
      <c r="C133" s="479">
        <f>IF(D94="","-",+C132+1)</f>
        <v>2058</v>
      </c>
      <c r="D133" s="480">
        <f>IF(F132+SUM(E$100:E132)=D$93,F132,D$93-SUM(E$100:E132))</f>
        <v>0</v>
      </c>
      <c r="E133" s="377">
        <f t="shared" si="22"/>
        <v>0</v>
      </c>
      <c r="F133" s="481">
        <f t="shared" si="23"/>
        <v>0</v>
      </c>
      <c r="G133" s="481">
        <f t="shared" si="24"/>
        <v>0</v>
      </c>
      <c r="H133" s="459">
        <f t="shared" si="27"/>
        <v>0</v>
      </c>
      <c r="I133" s="446">
        <f t="shared" si="26"/>
        <v>0</v>
      </c>
      <c r="J133" s="484">
        <f t="shared" si="28"/>
        <v>0</v>
      </c>
      <c r="K133" s="484"/>
      <c r="L133" s="112"/>
      <c r="M133" s="484">
        <f t="shared" si="29"/>
        <v>0</v>
      </c>
      <c r="N133" s="112"/>
      <c r="O133" s="484">
        <f t="shared" si="30"/>
        <v>0</v>
      </c>
      <c r="P133" s="484">
        <f t="shared" si="31"/>
        <v>0</v>
      </c>
    </row>
    <row r="134" spans="2:16">
      <c r="B134" t="str">
        <f t="shared" si="16"/>
        <v/>
      </c>
      <c r="C134" s="479">
        <f>IF(D94="","-",+C133+1)</f>
        <v>2059</v>
      </c>
      <c r="D134" s="480">
        <f>IF(F133+SUM(E$100:E133)=D$93,F133,D$93-SUM(E$100:E133))</f>
        <v>0</v>
      </c>
      <c r="E134" s="377">
        <f t="shared" si="22"/>
        <v>0</v>
      </c>
      <c r="F134" s="481">
        <f t="shared" si="23"/>
        <v>0</v>
      </c>
      <c r="G134" s="481">
        <f t="shared" si="24"/>
        <v>0</v>
      </c>
      <c r="H134" s="459">
        <f t="shared" si="27"/>
        <v>0</v>
      </c>
      <c r="I134" s="446">
        <f t="shared" si="26"/>
        <v>0</v>
      </c>
      <c r="J134" s="484">
        <f t="shared" si="28"/>
        <v>0</v>
      </c>
      <c r="K134" s="484"/>
      <c r="L134" s="112"/>
      <c r="M134" s="484">
        <f t="shared" si="29"/>
        <v>0</v>
      </c>
      <c r="N134" s="112"/>
      <c r="O134" s="484">
        <f t="shared" si="30"/>
        <v>0</v>
      </c>
      <c r="P134" s="484">
        <f t="shared" si="31"/>
        <v>0</v>
      </c>
    </row>
    <row r="135" spans="2:16">
      <c r="B135" t="str">
        <f t="shared" si="16"/>
        <v/>
      </c>
      <c r="C135" s="479">
        <f>IF(D94="","-",+C134+1)</f>
        <v>2060</v>
      </c>
      <c r="D135" s="480">
        <f>IF(F134+SUM(E$100:E134)=D$93,F134,D$93-SUM(E$100:E134))</f>
        <v>0</v>
      </c>
      <c r="E135" s="377">
        <f t="shared" si="22"/>
        <v>0</v>
      </c>
      <c r="F135" s="481">
        <f t="shared" si="23"/>
        <v>0</v>
      </c>
      <c r="G135" s="481">
        <f t="shared" si="24"/>
        <v>0</v>
      </c>
      <c r="H135" s="459">
        <f t="shared" si="27"/>
        <v>0</v>
      </c>
      <c r="I135" s="446">
        <f t="shared" si="26"/>
        <v>0</v>
      </c>
      <c r="J135" s="484">
        <f t="shared" si="28"/>
        <v>0</v>
      </c>
      <c r="K135" s="484"/>
      <c r="L135" s="112"/>
      <c r="M135" s="484">
        <f t="shared" si="29"/>
        <v>0</v>
      </c>
      <c r="N135" s="112"/>
      <c r="O135" s="484">
        <f t="shared" si="30"/>
        <v>0</v>
      </c>
      <c r="P135" s="484">
        <f t="shared" si="31"/>
        <v>0</v>
      </c>
    </row>
    <row r="136" spans="2:16">
      <c r="B136" t="str">
        <f t="shared" si="16"/>
        <v/>
      </c>
      <c r="C136" s="479">
        <f>IF(D94="","-",+C135+1)</f>
        <v>2061</v>
      </c>
      <c r="D136" s="480">
        <f>IF(F135+SUM(E$100:E135)=D$93,F135,D$93-SUM(E$100:E135))</f>
        <v>0</v>
      </c>
      <c r="E136" s="377">
        <f t="shared" si="22"/>
        <v>0</v>
      </c>
      <c r="F136" s="481">
        <f t="shared" si="23"/>
        <v>0</v>
      </c>
      <c r="G136" s="481">
        <f t="shared" si="24"/>
        <v>0</v>
      </c>
      <c r="H136" s="459">
        <f t="shared" si="27"/>
        <v>0</v>
      </c>
      <c r="I136" s="446">
        <f t="shared" si="26"/>
        <v>0</v>
      </c>
      <c r="J136" s="484">
        <f t="shared" si="28"/>
        <v>0</v>
      </c>
      <c r="K136" s="484"/>
      <c r="L136" s="112"/>
      <c r="M136" s="484">
        <f t="shared" si="29"/>
        <v>0</v>
      </c>
      <c r="N136" s="112"/>
      <c r="O136" s="484">
        <f t="shared" si="30"/>
        <v>0</v>
      </c>
      <c r="P136" s="484">
        <f t="shared" si="31"/>
        <v>0</v>
      </c>
    </row>
    <row r="137" spans="2:16">
      <c r="B137" t="str">
        <f t="shared" si="16"/>
        <v/>
      </c>
      <c r="C137" s="479">
        <f>IF(D94="","-",+C136+1)</f>
        <v>2062</v>
      </c>
      <c r="D137" s="480">
        <f>IF(F136+SUM(E$100:E136)=D$93,F136,D$93-SUM(E$100:E136))</f>
        <v>0</v>
      </c>
      <c r="E137" s="377">
        <f t="shared" si="22"/>
        <v>0</v>
      </c>
      <c r="F137" s="481">
        <f t="shared" si="23"/>
        <v>0</v>
      </c>
      <c r="G137" s="481">
        <f t="shared" si="24"/>
        <v>0</v>
      </c>
      <c r="H137" s="459">
        <f t="shared" si="27"/>
        <v>0</v>
      </c>
      <c r="I137" s="446">
        <f t="shared" si="26"/>
        <v>0</v>
      </c>
      <c r="J137" s="484">
        <f t="shared" si="28"/>
        <v>0</v>
      </c>
      <c r="K137" s="484"/>
      <c r="L137" s="112"/>
      <c r="M137" s="484">
        <f t="shared" si="29"/>
        <v>0</v>
      </c>
      <c r="N137" s="112"/>
      <c r="O137" s="484">
        <f t="shared" si="30"/>
        <v>0</v>
      </c>
      <c r="P137" s="484">
        <f t="shared" si="31"/>
        <v>0</v>
      </c>
    </row>
    <row r="138" spans="2:16">
      <c r="B138" t="str">
        <f t="shared" si="16"/>
        <v/>
      </c>
      <c r="C138" s="479">
        <f>IF(D94="","-",+C137+1)</f>
        <v>2063</v>
      </c>
      <c r="D138" s="480">
        <f>IF(F137+SUM(E$100:E137)=D$93,F137,D$93-SUM(E$100:E137))</f>
        <v>0</v>
      </c>
      <c r="E138" s="377">
        <f t="shared" si="22"/>
        <v>0</v>
      </c>
      <c r="F138" s="481">
        <f t="shared" si="23"/>
        <v>0</v>
      </c>
      <c r="G138" s="481">
        <f t="shared" si="24"/>
        <v>0</v>
      </c>
      <c r="H138" s="459">
        <f t="shared" si="27"/>
        <v>0</v>
      </c>
      <c r="I138" s="446">
        <f t="shared" si="26"/>
        <v>0</v>
      </c>
      <c r="J138" s="484">
        <f t="shared" si="28"/>
        <v>0</v>
      </c>
      <c r="K138" s="484"/>
      <c r="L138" s="112"/>
      <c r="M138" s="484">
        <f t="shared" si="29"/>
        <v>0</v>
      </c>
      <c r="N138" s="112"/>
      <c r="O138" s="484">
        <f t="shared" si="30"/>
        <v>0</v>
      </c>
      <c r="P138" s="484">
        <f t="shared" si="31"/>
        <v>0</v>
      </c>
    </row>
    <row r="139" spans="2:16">
      <c r="B139" t="str">
        <f t="shared" si="16"/>
        <v/>
      </c>
      <c r="C139" s="479">
        <f>IF(D94="","-",+C138+1)</f>
        <v>2064</v>
      </c>
      <c r="D139" s="480">
        <f>IF(F138+SUM(E$100:E138)=D$93,F138,D$93-SUM(E$100:E138))</f>
        <v>0</v>
      </c>
      <c r="E139" s="377">
        <f t="shared" si="22"/>
        <v>0</v>
      </c>
      <c r="F139" s="481">
        <f t="shared" si="23"/>
        <v>0</v>
      </c>
      <c r="G139" s="481">
        <f t="shared" si="24"/>
        <v>0</v>
      </c>
      <c r="H139" s="459">
        <f t="shared" si="27"/>
        <v>0</v>
      </c>
      <c r="I139" s="446">
        <f t="shared" si="26"/>
        <v>0</v>
      </c>
      <c r="J139" s="484">
        <f t="shared" si="28"/>
        <v>0</v>
      </c>
      <c r="K139" s="484"/>
      <c r="L139" s="112"/>
      <c r="M139" s="484">
        <f t="shared" si="29"/>
        <v>0</v>
      </c>
      <c r="N139" s="112"/>
      <c r="O139" s="484">
        <f t="shared" si="30"/>
        <v>0</v>
      </c>
      <c r="P139" s="484">
        <f t="shared" si="31"/>
        <v>0</v>
      </c>
    </row>
    <row r="140" spans="2:16">
      <c r="B140" t="str">
        <f t="shared" si="16"/>
        <v/>
      </c>
      <c r="C140" s="479">
        <f>IF(D94="","-",+C139+1)</f>
        <v>2065</v>
      </c>
      <c r="D140" s="480">
        <f>IF(F139+SUM(E$100:E139)=D$93,F139,D$93-SUM(E$100:E139))</f>
        <v>0</v>
      </c>
      <c r="E140" s="377">
        <f t="shared" si="22"/>
        <v>0</v>
      </c>
      <c r="F140" s="481">
        <f t="shared" si="23"/>
        <v>0</v>
      </c>
      <c r="G140" s="481">
        <f t="shared" si="24"/>
        <v>0</v>
      </c>
      <c r="H140" s="459">
        <f t="shared" si="27"/>
        <v>0</v>
      </c>
      <c r="I140" s="446">
        <f t="shared" si="26"/>
        <v>0</v>
      </c>
      <c r="J140" s="484">
        <f t="shared" si="28"/>
        <v>0</v>
      </c>
      <c r="K140" s="484"/>
      <c r="L140" s="112"/>
      <c r="M140" s="484">
        <f t="shared" si="29"/>
        <v>0</v>
      </c>
      <c r="N140" s="112"/>
      <c r="O140" s="484">
        <f t="shared" si="30"/>
        <v>0</v>
      </c>
      <c r="P140" s="484">
        <f t="shared" si="31"/>
        <v>0</v>
      </c>
    </row>
    <row r="141" spans="2:16">
      <c r="B141" t="str">
        <f t="shared" si="16"/>
        <v/>
      </c>
      <c r="C141" s="479">
        <f>IF(D94="","-",+C140+1)</f>
        <v>2066</v>
      </c>
      <c r="D141" s="480">
        <f>IF(F140+SUM(E$100:E140)=D$93,F140,D$93-SUM(E$100:E140))</f>
        <v>0</v>
      </c>
      <c r="E141" s="377">
        <f t="shared" si="22"/>
        <v>0</v>
      </c>
      <c r="F141" s="481">
        <f t="shared" si="23"/>
        <v>0</v>
      </c>
      <c r="G141" s="481">
        <f t="shared" si="24"/>
        <v>0</v>
      </c>
      <c r="H141" s="459">
        <f t="shared" si="27"/>
        <v>0</v>
      </c>
      <c r="I141" s="446">
        <f t="shared" si="26"/>
        <v>0</v>
      </c>
      <c r="J141" s="484">
        <f t="shared" si="28"/>
        <v>0</v>
      </c>
      <c r="K141" s="484"/>
      <c r="L141" s="112"/>
      <c r="M141" s="484">
        <f t="shared" si="29"/>
        <v>0</v>
      </c>
      <c r="N141" s="112"/>
      <c r="O141" s="484">
        <f t="shared" si="30"/>
        <v>0</v>
      </c>
      <c r="P141" s="484">
        <f t="shared" si="31"/>
        <v>0</v>
      </c>
    </row>
    <row r="142" spans="2:16">
      <c r="B142" t="str">
        <f t="shared" si="16"/>
        <v/>
      </c>
      <c r="C142" s="479">
        <f>IF(D94="","-",+C141+1)</f>
        <v>2067</v>
      </c>
      <c r="D142" s="480">
        <f>IF(F141+SUM(E$100:E141)=D$93,F141,D$93-SUM(E$100:E141))</f>
        <v>0</v>
      </c>
      <c r="E142" s="377">
        <f t="shared" si="22"/>
        <v>0</v>
      </c>
      <c r="F142" s="481">
        <f t="shared" si="23"/>
        <v>0</v>
      </c>
      <c r="G142" s="481">
        <f t="shared" si="24"/>
        <v>0</v>
      </c>
      <c r="H142" s="459">
        <f t="shared" si="27"/>
        <v>0</v>
      </c>
      <c r="I142" s="446">
        <f t="shared" si="26"/>
        <v>0</v>
      </c>
      <c r="J142" s="484">
        <f t="shared" si="28"/>
        <v>0</v>
      </c>
      <c r="K142" s="484"/>
      <c r="L142" s="112"/>
      <c r="M142" s="484">
        <f t="shared" si="29"/>
        <v>0</v>
      </c>
      <c r="N142" s="112"/>
      <c r="O142" s="484">
        <f t="shared" si="30"/>
        <v>0</v>
      </c>
      <c r="P142" s="484">
        <f t="shared" si="31"/>
        <v>0</v>
      </c>
    </row>
    <row r="143" spans="2:16">
      <c r="B143" t="str">
        <f t="shared" si="16"/>
        <v/>
      </c>
      <c r="C143" s="479">
        <f>IF(D94="","-",+C142+1)</f>
        <v>2068</v>
      </c>
      <c r="D143" s="480">
        <f>IF(F142+SUM(E$100:E142)=D$93,F142,D$93-SUM(E$100:E142))</f>
        <v>0</v>
      </c>
      <c r="E143" s="377">
        <f t="shared" si="22"/>
        <v>0</v>
      </c>
      <c r="F143" s="481">
        <f t="shared" si="23"/>
        <v>0</v>
      </c>
      <c r="G143" s="481">
        <f t="shared" si="24"/>
        <v>0</v>
      </c>
      <c r="H143" s="459">
        <f t="shared" si="27"/>
        <v>0</v>
      </c>
      <c r="I143" s="446">
        <f t="shared" si="26"/>
        <v>0</v>
      </c>
      <c r="J143" s="484">
        <f t="shared" si="28"/>
        <v>0</v>
      </c>
      <c r="K143" s="484"/>
      <c r="L143" s="112"/>
      <c r="M143" s="484">
        <f t="shared" si="29"/>
        <v>0</v>
      </c>
      <c r="N143" s="112"/>
      <c r="O143" s="484">
        <f t="shared" si="30"/>
        <v>0</v>
      </c>
      <c r="P143" s="484">
        <f t="shared" si="31"/>
        <v>0</v>
      </c>
    </row>
    <row r="144" spans="2:16">
      <c r="B144" t="str">
        <f t="shared" si="16"/>
        <v/>
      </c>
      <c r="C144" s="479">
        <f>IF(D94="","-",+C143+1)</f>
        <v>2069</v>
      </c>
      <c r="D144" s="480">
        <f>IF(F143+SUM(E$100:E143)=D$93,F143,D$93-SUM(E$100:E143))</f>
        <v>0</v>
      </c>
      <c r="E144" s="377">
        <f t="shared" si="22"/>
        <v>0</v>
      </c>
      <c r="F144" s="481">
        <f t="shared" si="23"/>
        <v>0</v>
      </c>
      <c r="G144" s="481">
        <f t="shared" si="24"/>
        <v>0</v>
      </c>
      <c r="H144" s="459">
        <f t="shared" si="27"/>
        <v>0</v>
      </c>
      <c r="I144" s="446">
        <f t="shared" si="26"/>
        <v>0</v>
      </c>
      <c r="J144" s="484">
        <f t="shared" si="28"/>
        <v>0</v>
      </c>
      <c r="K144" s="484"/>
      <c r="L144" s="112"/>
      <c r="M144" s="484">
        <f t="shared" si="29"/>
        <v>0</v>
      </c>
      <c r="N144" s="112"/>
      <c r="O144" s="484">
        <f t="shared" si="30"/>
        <v>0</v>
      </c>
      <c r="P144" s="484">
        <f t="shared" si="31"/>
        <v>0</v>
      </c>
    </row>
    <row r="145" spans="2:16">
      <c r="B145" t="str">
        <f t="shared" si="16"/>
        <v/>
      </c>
      <c r="C145" s="479">
        <f>IF(D94="","-",+C144+1)</f>
        <v>2070</v>
      </c>
      <c r="D145" s="480">
        <f>IF(F144+SUM(E$100:E144)=D$93,F144,D$93-SUM(E$100:E144))</f>
        <v>0</v>
      </c>
      <c r="E145" s="377">
        <f t="shared" si="22"/>
        <v>0</v>
      </c>
      <c r="F145" s="481">
        <f t="shared" si="23"/>
        <v>0</v>
      </c>
      <c r="G145" s="481">
        <f t="shared" si="24"/>
        <v>0</v>
      </c>
      <c r="H145" s="459">
        <f t="shared" si="27"/>
        <v>0</v>
      </c>
      <c r="I145" s="446">
        <f t="shared" si="26"/>
        <v>0</v>
      </c>
      <c r="J145" s="484">
        <f t="shared" si="28"/>
        <v>0</v>
      </c>
      <c r="K145" s="484"/>
      <c r="L145" s="112"/>
      <c r="M145" s="484">
        <f t="shared" si="29"/>
        <v>0</v>
      </c>
      <c r="N145" s="112"/>
      <c r="O145" s="484">
        <f t="shared" si="30"/>
        <v>0</v>
      </c>
      <c r="P145" s="484">
        <f t="shared" si="31"/>
        <v>0</v>
      </c>
    </row>
    <row r="146" spans="2:16">
      <c r="B146" t="str">
        <f t="shared" si="16"/>
        <v/>
      </c>
      <c r="C146" s="479">
        <f>IF(D94="","-",+C145+1)</f>
        <v>2071</v>
      </c>
      <c r="D146" s="480">
        <f>IF(F145+SUM(E$100:E145)=D$93,F145,D$93-SUM(E$100:E145))</f>
        <v>0</v>
      </c>
      <c r="E146" s="377">
        <f t="shared" si="22"/>
        <v>0</v>
      </c>
      <c r="F146" s="481">
        <f t="shared" si="23"/>
        <v>0</v>
      </c>
      <c r="G146" s="481">
        <f t="shared" si="24"/>
        <v>0</v>
      </c>
      <c r="H146" s="459">
        <f t="shared" si="27"/>
        <v>0</v>
      </c>
      <c r="I146" s="446">
        <f t="shared" si="26"/>
        <v>0</v>
      </c>
      <c r="J146" s="484">
        <f t="shared" si="28"/>
        <v>0</v>
      </c>
      <c r="K146" s="484"/>
      <c r="L146" s="112"/>
      <c r="M146" s="484">
        <f t="shared" si="29"/>
        <v>0</v>
      </c>
      <c r="N146" s="112"/>
      <c r="O146" s="484">
        <f t="shared" si="30"/>
        <v>0</v>
      </c>
      <c r="P146" s="484">
        <f t="shared" si="31"/>
        <v>0</v>
      </c>
    </row>
    <row r="147" spans="2:16">
      <c r="B147" t="str">
        <f t="shared" si="16"/>
        <v/>
      </c>
      <c r="C147" s="479">
        <f>IF(D94="","-",+C146+1)</f>
        <v>2072</v>
      </c>
      <c r="D147" s="480">
        <f>IF(F146+SUM(E$100:E146)=D$93,F146,D$93-SUM(E$100:E146))</f>
        <v>0</v>
      </c>
      <c r="E147" s="377">
        <f t="shared" si="22"/>
        <v>0</v>
      </c>
      <c r="F147" s="481">
        <f t="shared" si="23"/>
        <v>0</v>
      </c>
      <c r="G147" s="481">
        <f t="shared" si="24"/>
        <v>0</v>
      </c>
      <c r="H147" s="459">
        <f t="shared" si="27"/>
        <v>0</v>
      </c>
      <c r="I147" s="446">
        <f t="shared" si="26"/>
        <v>0</v>
      </c>
      <c r="J147" s="484">
        <f t="shared" si="28"/>
        <v>0</v>
      </c>
      <c r="K147" s="484"/>
      <c r="L147" s="112"/>
      <c r="M147" s="484">
        <f t="shared" si="29"/>
        <v>0</v>
      </c>
      <c r="N147" s="112"/>
      <c r="O147" s="484">
        <f t="shared" si="30"/>
        <v>0</v>
      </c>
      <c r="P147" s="484">
        <f t="shared" si="31"/>
        <v>0</v>
      </c>
    </row>
    <row r="148" spans="2:16">
      <c r="B148" t="str">
        <f t="shared" si="16"/>
        <v/>
      </c>
      <c r="C148" s="479">
        <f>IF(D94="","-",+C147+1)</f>
        <v>2073</v>
      </c>
      <c r="D148" s="480">
        <f>IF(F147+SUM(E$100:E147)=D$93,F147,D$93-SUM(E$100:E147))</f>
        <v>0</v>
      </c>
      <c r="E148" s="377">
        <f t="shared" si="22"/>
        <v>0</v>
      </c>
      <c r="F148" s="481">
        <f t="shared" si="23"/>
        <v>0</v>
      </c>
      <c r="G148" s="481">
        <f t="shared" si="24"/>
        <v>0</v>
      </c>
      <c r="H148" s="459">
        <f t="shared" si="27"/>
        <v>0</v>
      </c>
      <c r="I148" s="446">
        <f t="shared" si="26"/>
        <v>0</v>
      </c>
      <c r="J148" s="484">
        <f t="shared" si="28"/>
        <v>0</v>
      </c>
      <c r="K148" s="484"/>
      <c r="L148" s="112"/>
      <c r="M148" s="484">
        <f t="shared" si="29"/>
        <v>0</v>
      </c>
      <c r="N148" s="112"/>
      <c r="O148" s="484">
        <f t="shared" si="30"/>
        <v>0</v>
      </c>
      <c r="P148" s="484">
        <f t="shared" si="31"/>
        <v>0</v>
      </c>
    </row>
    <row r="149" spans="2:16">
      <c r="B149" t="str">
        <f t="shared" si="16"/>
        <v/>
      </c>
      <c r="C149" s="479">
        <f>IF(D94="","-",+C148+1)</f>
        <v>2074</v>
      </c>
      <c r="D149" s="480">
        <f>IF(F148+SUM(E$100:E148)=D$93,F148,D$93-SUM(E$100:E148))</f>
        <v>0</v>
      </c>
      <c r="E149" s="377">
        <f t="shared" si="22"/>
        <v>0</v>
      </c>
      <c r="F149" s="481">
        <f t="shared" si="23"/>
        <v>0</v>
      </c>
      <c r="G149" s="481">
        <f t="shared" si="24"/>
        <v>0</v>
      </c>
      <c r="H149" s="459">
        <f t="shared" si="27"/>
        <v>0</v>
      </c>
      <c r="I149" s="446">
        <f t="shared" si="26"/>
        <v>0</v>
      </c>
      <c r="J149" s="484">
        <f t="shared" si="28"/>
        <v>0</v>
      </c>
      <c r="K149" s="484"/>
      <c r="L149" s="112"/>
      <c r="M149" s="484">
        <f t="shared" si="29"/>
        <v>0</v>
      </c>
      <c r="N149" s="112"/>
      <c r="O149" s="484">
        <f t="shared" si="30"/>
        <v>0</v>
      </c>
      <c r="P149" s="484">
        <f t="shared" si="31"/>
        <v>0</v>
      </c>
    </row>
    <row r="150" spans="2:16">
      <c r="B150" t="str">
        <f t="shared" si="16"/>
        <v/>
      </c>
      <c r="C150" s="479">
        <f>IF(D94="","-",+C149+1)</f>
        <v>2075</v>
      </c>
      <c r="D150" s="480">
        <f>IF(F149+SUM(E$100:E149)=D$93,F149,D$93-SUM(E$100:E149))</f>
        <v>0</v>
      </c>
      <c r="E150" s="377">
        <f t="shared" si="22"/>
        <v>0</v>
      </c>
      <c r="F150" s="481">
        <f t="shared" si="23"/>
        <v>0</v>
      </c>
      <c r="G150" s="481">
        <f t="shared" si="24"/>
        <v>0</v>
      </c>
      <c r="H150" s="459">
        <f t="shared" si="27"/>
        <v>0</v>
      </c>
      <c r="I150" s="446">
        <f t="shared" si="26"/>
        <v>0</v>
      </c>
      <c r="J150" s="484">
        <f t="shared" si="28"/>
        <v>0</v>
      </c>
      <c r="K150" s="484"/>
      <c r="L150" s="112"/>
      <c r="M150" s="484">
        <f t="shared" si="29"/>
        <v>0</v>
      </c>
      <c r="N150" s="112"/>
      <c r="O150" s="484">
        <f t="shared" si="30"/>
        <v>0</v>
      </c>
      <c r="P150" s="484">
        <f t="shared" si="31"/>
        <v>0</v>
      </c>
    </row>
    <row r="151" spans="2:16">
      <c r="B151" t="str">
        <f t="shared" si="16"/>
        <v/>
      </c>
      <c r="C151" s="479">
        <f>IF(D94="","-",+C150+1)</f>
        <v>2076</v>
      </c>
      <c r="D151" s="480">
        <f>IF(F150+SUM(E$100:E150)=D$93,F150,D$93-SUM(E$100:E150))</f>
        <v>0</v>
      </c>
      <c r="E151" s="377">
        <f t="shared" si="22"/>
        <v>0</v>
      </c>
      <c r="F151" s="481">
        <f t="shared" si="23"/>
        <v>0</v>
      </c>
      <c r="G151" s="481">
        <f t="shared" si="24"/>
        <v>0</v>
      </c>
      <c r="H151" s="459">
        <f t="shared" si="27"/>
        <v>0</v>
      </c>
      <c r="I151" s="446">
        <f t="shared" si="26"/>
        <v>0</v>
      </c>
      <c r="J151" s="484">
        <f t="shared" si="28"/>
        <v>0</v>
      </c>
      <c r="K151" s="484"/>
      <c r="L151" s="112"/>
      <c r="M151" s="484">
        <f t="shared" si="29"/>
        <v>0</v>
      </c>
      <c r="N151" s="112"/>
      <c r="O151" s="484">
        <f t="shared" si="30"/>
        <v>0</v>
      </c>
      <c r="P151" s="484">
        <f t="shared" si="31"/>
        <v>0</v>
      </c>
    </row>
    <row r="152" spans="2:16">
      <c r="B152" t="str">
        <f t="shared" si="16"/>
        <v/>
      </c>
      <c r="C152" s="479">
        <f>IF(D94="","-",+C151+1)</f>
        <v>2077</v>
      </c>
      <c r="D152" s="480">
        <f>IF(F151+SUM(E$100:E151)=D$93,F151,D$93-SUM(E$100:E151))</f>
        <v>0</v>
      </c>
      <c r="E152" s="377">
        <f t="shared" si="22"/>
        <v>0</v>
      </c>
      <c r="F152" s="481">
        <f t="shared" si="23"/>
        <v>0</v>
      </c>
      <c r="G152" s="481">
        <f t="shared" si="24"/>
        <v>0</v>
      </c>
      <c r="H152" s="459">
        <f t="shared" si="27"/>
        <v>0</v>
      </c>
      <c r="I152" s="446">
        <f t="shared" si="26"/>
        <v>0</v>
      </c>
      <c r="J152" s="484">
        <f t="shared" si="28"/>
        <v>0</v>
      </c>
      <c r="K152" s="484"/>
      <c r="L152" s="112"/>
      <c r="M152" s="484">
        <f t="shared" si="29"/>
        <v>0</v>
      </c>
      <c r="N152" s="112"/>
      <c r="O152" s="484">
        <f t="shared" si="30"/>
        <v>0</v>
      </c>
      <c r="P152" s="484">
        <f t="shared" si="31"/>
        <v>0</v>
      </c>
    </row>
    <row r="153" spans="2:16">
      <c r="B153" t="str">
        <f t="shared" si="16"/>
        <v/>
      </c>
      <c r="C153" s="479">
        <f>IF(D94="","-",+C152+1)</f>
        <v>2078</v>
      </c>
      <c r="D153" s="480">
        <f>IF(F152+SUM(E$100:E152)=D$93,F152,D$93-SUM(E$100:E152))</f>
        <v>0</v>
      </c>
      <c r="E153" s="377">
        <f t="shared" si="22"/>
        <v>0</v>
      </c>
      <c r="F153" s="481">
        <f t="shared" si="23"/>
        <v>0</v>
      </c>
      <c r="G153" s="481">
        <f t="shared" si="24"/>
        <v>0</v>
      </c>
      <c r="H153" s="459">
        <f t="shared" si="27"/>
        <v>0</v>
      </c>
      <c r="I153" s="446">
        <f t="shared" si="26"/>
        <v>0</v>
      </c>
      <c r="J153" s="484">
        <f t="shared" si="28"/>
        <v>0</v>
      </c>
      <c r="K153" s="484"/>
      <c r="L153" s="112"/>
      <c r="M153" s="484">
        <f t="shared" si="29"/>
        <v>0</v>
      </c>
      <c r="N153" s="112"/>
      <c r="O153" s="484">
        <f t="shared" si="30"/>
        <v>0</v>
      </c>
      <c r="P153" s="484">
        <f t="shared" si="31"/>
        <v>0</v>
      </c>
    </row>
    <row r="154" spans="2:16">
      <c r="B154" t="str">
        <f t="shared" si="16"/>
        <v/>
      </c>
      <c r="C154" s="479">
        <f>IF(D94="","-",+C153+1)</f>
        <v>2079</v>
      </c>
      <c r="D154" s="480">
        <f>IF(F153+SUM(E$100:E153)=D$93,F153,D$93-SUM(E$100:E153))</f>
        <v>0</v>
      </c>
      <c r="E154" s="377">
        <f t="shared" si="22"/>
        <v>0</v>
      </c>
      <c r="F154" s="481">
        <f t="shared" si="23"/>
        <v>0</v>
      </c>
      <c r="G154" s="481">
        <f t="shared" si="24"/>
        <v>0</v>
      </c>
      <c r="H154" s="459">
        <f t="shared" si="27"/>
        <v>0</v>
      </c>
      <c r="I154" s="446">
        <f t="shared" si="26"/>
        <v>0</v>
      </c>
      <c r="J154" s="484">
        <f t="shared" si="28"/>
        <v>0</v>
      </c>
      <c r="K154" s="484"/>
      <c r="L154" s="112"/>
      <c r="M154" s="484">
        <f t="shared" si="29"/>
        <v>0</v>
      </c>
      <c r="N154" s="112"/>
      <c r="O154" s="484">
        <f t="shared" si="30"/>
        <v>0</v>
      </c>
      <c r="P154" s="484">
        <f t="shared" si="31"/>
        <v>0</v>
      </c>
    </row>
    <row r="155" spans="2:16" ht="13.5" thickBot="1">
      <c r="B155" t="str">
        <f t="shared" si="16"/>
        <v/>
      </c>
      <c r="C155" s="487">
        <f>IF(D94="","-",+C154+1)</f>
        <v>2080</v>
      </c>
      <c r="D155" s="509">
        <f>IF(F154+SUM(E$100:E154)=D$93,F154,D$93-SUM(E$100:E154))</f>
        <v>0</v>
      </c>
      <c r="E155" s="389">
        <f t="shared" si="22"/>
        <v>0</v>
      </c>
      <c r="F155" s="488">
        <f t="shared" si="23"/>
        <v>0</v>
      </c>
      <c r="G155" s="488">
        <f t="shared" si="24"/>
        <v>0</v>
      </c>
      <c r="H155" s="459">
        <f t="shared" si="27"/>
        <v>0</v>
      </c>
      <c r="I155" s="443">
        <f t="shared" si="26"/>
        <v>0</v>
      </c>
      <c r="J155" s="491">
        <f t="shared" si="28"/>
        <v>0</v>
      </c>
      <c r="K155" s="484"/>
      <c r="L155" s="113"/>
      <c r="M155" s="491">
        <f t="shared" si="29"/>
        <v>0</v>
      </c>
      <c r="N155" s="113"/>
      <c r="O155" s="491">
        <f t="shared" si="30"/>
        <v>0</v>
      </c>
      <c r="P155" s="491">
        <f t="shared" si="31"/>
        <v>0</v>
      </c>
    </row>
    <row r="156" spans="2:16">
      <c r="C156" s="480" t="s">
        <v>75</v>
      </c>
      <c r="D156" s="468"/>
      <c r="E156" s="468">
        <f>SUM(E100:E155)</f>
        <v>6252517.7199999997</v>
      </c>
      <c r="F156" s="468"/>
      <c r="G156" s="468"/>
      <c r="H156" s="468">
        <f>SUM(H100:H155)</f>
        <v>13786596.026866995</v>
      </c>
      <c r="I156" s="468">
        <f>SUM(I100:I155)</f>
        <v>13786596.026866995</v>
      </c>
      <c r="J156" s="468">
        <f>SUM(J100:J155)</f>
        <v>0</v>
      </c>
      <c r="K156" s="468"/>
      <c r="L156" s="468"/>
      <c r="M156" s="468"/>
      <c r="N156" s="468"/>
      <c r="O156" s="468"/>
      <c r="P156" s="465"/>
    </row>
    <row r="157" spans="2:16">
      <c r="C157" t="s">
        <v>90</v>
      </c>
      <c r="D157" s="466"/>
      <c r="E157" s="465"/>
      <c r="F157" s="465"/>
      <c r="G157" s="465"/>
      <c r="H157" s="465"/>
      <c r="I157" s="467"/>
      <c r="J157" s="467"/>
      <c r="K157" s="468"/>
      <c r="L157" s="467"/>
      <c r="M157" s="467"/>
      <c r="N157" s="467"/>
      <c r="O157" s="467"/>
      <c r="P157" s="465"/>
    </row>
    <row r="158" spans="2:16">
      <c r="C158" s="83"/>
      <c r="D158" s="466"/>
      <c r="E158" s="465"/>
      <c r="F158" s="465"/>
      <c r="G158" s="465"/>
      <c r="H158" s="465"/>
      <c r="I158" s="467"/>
      <c r="J158" s="467"/>
      <c r="K158" s="468"/>
      <c r="L158" s="467"/>
      <c r="M158" s="467"/>
      <c r="N158" s="467"/>
      <c r="O158" s="467"/>
      <c r="P158" s="465"/>
    </row>
    <row r="159" spans="2:16">
      <c r="C159" s="97" t="s">
        <v>130</v>
      </c>
      <c r="D159" s="466"/>
      <c r="E159" s="465"/>
      <c r="F159" s="465"/>
      <c r="G159" s="465"/>
      <c r="H159" s="465"/>
      <c r="I159" s="467"/>
      <c r="J159" s="467"/>
      <c r="K159" s="468"/>
      <c r="L159" s="467"/>
      <c r="M159" s="467"/>
      <c r="N159" s="467"/>
      <c r="O159" s="467"/>
      <c r="P159" s="465"/>
    </row>
    <row r="160" spans="2:16">
      <c r="C160" s="25" t="s">
        <v>76</v>
      </c>
      <c r="D160" s="480"/>
      <c r="E160" s="480"/>
      <c r="F160" s="480"/>
      <c r="G160" s="480"/>
      <c r="H160" s="468"/>
      <c r="I160" s="468"/>
      <c r="J160" s="492"/>
      <c r="K160" s="492"/>
      <c r="L160" s="492"/>
      <c r="M160" s="492"/>
      <c r="N160" s="492"/>
      <c r="O160" s="492"/>
      <c r="P160" s="465"/>
    </row>
    <row r="161" spans="3:16">
      <c r="C161" s="84" t="s">
        <v>77</v>
      </c>
      <c r="D161" s="480"/>
      <c r="E161" s="480"/>
      <c r="F161" s="480"/>
      <c r="G161" s="480"/>
      <c r="H161" s="468"/>
      <c r="I161" s="468"/>
      <c r="J161" s="492"/>
      <c r="K161" s="492"/>
      <c r="L161" s="492"/>
      <c r="M161" s="492"/>
      <c r="N161" s="492"/>
      <c r="O161" s="492"/>
      <c r="P161" s="465"/>
    </row>
    <row r="162" spans="3:16">
      <c r="C162" s="84"/>
      <c r="D162" s="480"/>
      <c r="E162" s="480"/>
      <c r="F162" s="480"/>
      <c r="G162" s="480"/>
      <c r="H162" s="468"/>
      <c r="I162" s="468"/>
      <c r="J162" s="492"/>
      <c r="K162" s="492"/>
      <c r="L162" s="492"/>
      <c r="M162" s="492"/>
      <c r="N162" s="492"/>
      <c r="O162" s="492"/>
      <c r="P162" s="465"/>
    </row>
    <row r="163" spans="3:16" ht="18">
      <c r="C163" s="84"/>
      <c r="D163" s="480"/>
      <c r="E163" s="480"/>
      <c r="F163" s="480"/>
      <c r="G163" s="480"/>
      <c r="H163" s="468"/>
      <c r="I163" s="468"/>
      <c r="J163" s="492"/>
      <c r="K163" s="492"/>
      <c r="L163" s="492"/>
      <c r="M163" s="492"/>
      <c r="N163" s="492"/>
      <c r="P163" s="95" t="s">
        <v>129</v>
      </c>
    </row>
  </sheetData>
  <conditionalFormatting sqref="C17:C73">
    <cfRule type="cellIs" dxfId="5" priority="1" stopIfTrue="1" operator="equal">
      <formula>$I$10</formula>
    </cfRule>
  </conditionalFormatting>
  <conditionalFormatting sqref="C100:C155">
    <cfRule type="cellIs" dxfId="4" priority="2" stopIfTrue="1" operator="equal">
      <formula>$J$93</formula>
    </cfRule>
  </conditionalFormatting>
  <pageMargins left="0.5" right="0.25" top="1" bottom="0.35" header="0.25" footer="0.5"/>
  <pageSetup scale="47" orientation="landscape"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7038F-9634-46AE-B7EC-12C138588FFB}">
  <dimension ref="A1:P163"/>
  <sheetViews>
    <sheetView topLeftCell="C14" zoomScale="80" zoomScaleNormal="80" workbookViewId="0">
      <selection activeCell="D14" sqref="D14"/>
    </sheetView>
  </sheetViews>
  <sheetFormatPr defaultRowHeight="12.75"/>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s>
  <sheetData>
    <row r="1" spans="1:16" ht="20.25">
      <c r="A1" s="93" t="s">
        <v>189</v>
      </c>
      <c r="B1" s="465"/>
      <c r="C1" s="465"/>
      <c r="D1" s="466"/>
      <c r="E1" s="465"/>
      <c r="F1" s="280"/>
      <c r="G1" s="465"/>
      <c r="H1" s="467"/>
      <c r="K1" s="12"/>
      <c r="L1" s="12"/>
      <c r="M1" s="12"/>
      <c r="P1" s="98" t="str">
        <f ca="1">"OKT Project "&amp;RIGHT(MID(CELL("filename",$A$1),FIND("]",CELL("filename",$A$1))+1,256),2)&amp;" of "&amp;COUNT('OKT.001:OKT.xyz - blank'!$P$3)-1</f>
        <v>OKT Project 26 of 26</v>
      </c>
    </row>
    <row r="2" spans="1:16" ht="18">
      <c r="B2" s="465"/>
      <c r="C2" s="465"/>
      <c r="D2" s="466"/>
      <c r="E2" s="465"/>
      <c r="F2" s="465"/>
      <c r="G2" s="465"/>
      <c r="H2" s="467"/>
      <c r="I2" s="465"/>
      <c r="J2" s="465"/>
      <c r="K2" s="465"/>
      <c r="L2" s="465"/>
      <c r="M2" s="465"/>
      <c r="N2" s="465"/>
      <c r="P2" s="99" t="s">
        <v>131</v>
      </c>
    </row>
    <row r="3" spans="1:16" ht="18.75">
      <c r="B3" s="4" t="s">
        <v>42</v>
      </c>
      <c r="C3" s="9" t="s">
        <v>43</v>
      </c>
      <c r="D3" s="466"/>
      <c r="E3" s="465"/>
      <c r="F3" s="465"/>
      <c r="G3" s="465"/>
      <c r="H3" s="467"/>
      <c r="I3" s="467"/>
      <c r="J3" s="468"/>
      <c r="K3" s="467"/>
      <c r="L3" s="467"/>
      <c r="M3" s="467"/>
      <c r="N3" s="467"/>
      <c r="O3" s="465"/>
      <c r="P3" s="91">
        <v>1</v>
      </c>
    </row>
    <row r="4" spans="1:16" ht="15.75" thickBot="1">
      <c r="C4" s="8"/>
      <c r="D4" s="466"/>
      <c r="E4" s="465"/>
      <c r="F4" s="465"/>
      <c r="G4" s="465"/>
      <c r="H4" s="467"/>
      <c r="I4" s="467"/>
      <c r="J4" s="468"/>
      <c r="K4" s="467"/>
      <c r="L4" s="467"/>
      <c r="M4" s="467"/>
      <c r="N4" s="467"/>
      <c r="O4" s="465"/>
      <c r="P4" s="465"/>
    </row>
    <row r="5" spans="1:16" ht="15">
      <c r="C5" s="14" t="s">
        <v>44</v>
      </c>
      <c r="D5" s="466"/>
      <c r="E5" s="465"/>
      <c r="F5" s="465"/>
      <c r="G5" s="15"/>
      <c r="H5" s="465" t="s">
        <v>45</v>
      </c>
      <c r="I5" s="465"/>
      <c r="J5" s="465"/>
      <c r="K5" s="16" t="s">
        <v>242</v>
      </c>
      <c r="L5" s="17"/>
      <c r="M5" s="469"/>
      <c r="N5" s="19">
        <f>VLOOKUP(I10,C17:I73,5)</f>
        <v>856440.24137212092</v>
      </c>
      <c r="P5" s="465"/>
    </row>
    <row r="6" spans="1:16" ht="15.75">
      <c r="C6" s="6"/>
      <c r="D6" s="466"/>
      <c r="E6" s="465"/>
      <c r="F6" s="465"/>
      <c r="G6" s="465"/>
      <c r="H6" s="20"/>
      <c r="I6" s="20"/>
      <c r="J6" s="21"/>
      <c r="K6" s="22" t="s">
        <v>243</v>
      </c>
      <c r="L6" s="23"/>
      <c r="M6" s="465"/>
      <c r="N6" s="24">
        <f>VLOOKUP(I10,C17:I73,6)</f>
        <v>856440.24137212092</v>
      </c>
      <c r="O6" s="465"/>
      <c r="P6" s="465"/>
    </row>
    <row r="7" spans="1:16" ht="13.5" thickBot="1">
      <c r="C7" s="25" t="s">
        <v>46</v>
      </c>
      <c r="D7" s="87" t="s">
        <v>309</v>
      </c>
      <c r="E7" s="465"/>
      <c r="F7" s="465"/>
      <c r="G7" s="465"/>
      <c r="H7" s="467"/>
      <c r="I7" s="467"/>
      <c r="J7" s="468"/>
      <c r="K7" s="26" t="s">
        <v>47</v>
      </c>
      <c r="L7" s="470"/>
      <c r="M7" s="470"/>
      <c r="N7" s="471">
        <f>+N6-N5</f>
        <v>0</v>
      </c>
      <c r="O7" s="465"/>
      <c r="P7" s="465"/>
    </row>
    <row r="8" spans="1:16" ht="13.5" thickBot="1">
      <c r="C8" s="29"/>
      <c r="D8" s="83"/>
      <c r="E8" s="472"/>
      <c r="F8" s="472"/>
      <c r="G8" s="472"/>
      <c r="H8" s="472"/>
      <c r="I8" s="472"/>
      <c r="J8" s="472"/>
      <c r="K8" s="472"/>
      <c r="L8" s="472"/>
      <c r="M8" s="472"/>
      <c r="N8" s="472"/>
      <c r="O8" s="472"/>
      <c r="P8" s="465"/>
    </row>
    <row r="9" spans="1:16" ht="13.5" thickBot="1">
      <c r="C9" s="30" t="s">
        <v>48</v>
      </c>
      <c r="D9" s="89" t="s">
        <v>317</v>
      </c>
      <c r="E9" s="473" t="s">
        <v>299</v>
      </c>
      <c r="F9" s="31">
        <v>93038</v>
      </c>
      <c r="G9" s="31"/>
      <c r="H9" s="31"/>
      <c r="I9" s="32"/>
      <c r="J9" s="33"/>
      <c r="P9" s="465"/>
    </row>
    <row r="10" spans="1:16">
      <c r="C10" s="474" t="s">
        <v>49</v>
      </c>
      <c r="D10" s="35">
        <v>5948813</v>
      </c>
      <c r="E10" s="465" t="s">
        <v>50</v>
      </c>
      <c r="G10" s="466"/>
      <c r="H10" s="466"/>
      <c r="I10" s="36">
        <v>2025</v>
      </c>
      <c r="J10" s="33"/>
      <c r="K10" s="468" t="s">
        <v>51</v>
      </c>
      <c r="O10" s="465"/>
      <c r="P10" s="465"/>
    </row>
    <row r="11" spans="1:16">
      <c r="C11" s="474" t="s">
        <v>52</v>
      </c>
      <c r="D11" s="37">
        <v>2024</v>
      </c>
      <c r="E11" s="474" t="s">
        <v>53</v>
      </c>
      <c r="F11" s="466"/>
      <c r="I11" s="475">
        <v>0</v>
      </c>
      <c r="J11" s="476"/>
      <c r="K11" t="str">
        <f>"          INPUT PROJECTED ARR (WITH &amp; WITHOUT INCENTIVES) FROM EACH PRIOR YEAR"</f>
        <v xml:space="preserve">          INPUT PROJECTED ARR (WITH &amp; WITHOUT INCENTIVES) FROM EACH PRIOR YEAR</v>
      </c>
      <c r="O11" s="465"/>
      <c r="P11" s="465"/>
    </row>
    <row r="12" spans="1:16">
      <c r="C12" s="474" t="s">
        <v>54</v>
      </c>
      <c r="D12" s="35">
        <v>6</v>
      </c>
      <c r="E12" s="474" t="s">
        <v>55</v>
      </c>
      <c r="F12" s="466"/>
      <c r="I12" s="477">
        <v>0.11475877389767174</v>
      </c>
      <c r="J12" s="280"/>
      <c r="K12" t="s">
        <v>56</v>
      </c>
      <c r="O12" s="465"/>
      <c r="P12" s="465"/>
    </row>
    <row r="13" spans="1:16">
      <c r="C13" s="474" t="s">
        <v>57</v>
      </c>
      <c r="D13" s="475">
        <v>30</v>
      </c>
      <c r="E13" s="474" t="s">
        <v>58</v>
      </c>
      <c r="F13" s="466"/>
      <c r="I13" s="477">
        <v>0.11475877389767174</v>
      </c>
      <c r="J13" s="280"/>
      <c r="K13" s="468" t="s">
        <v>59</v>
      </c>
      <c r="L13" s="280"/>
      <c r="M13" s="280"/>
      <c r="N13" s="280"/>
      <c r="O13" s="465"/>
      <c r="P13" s="465"/>
    </row>
    <row r="14" spans="1:16" ht="13.5" thickBot="1">
      <c r="C14" s="474" t="s">
        <v>60</v>
      </c>
      <c r="D14" s="37" t="s">
        <v>61</v>
      </c>
      <c r="E14" s="465" t="s">
        <v>62</v>
      </c>
      <c r="F14" s="466"/>
      <c r="I14" s="478">
        <f>IF(D10=0,0,D10/D13)</f>
        <v>198293.76666666666</v>
      </c>
      <c r="J14" s="468"/>
      <c r="K14" s="468"/>
      <c r="L14" s="468"/>
      <c r="M14" s="468"/>
      <c r="N14" s="468"/>
      <c r="O14" s="465"/>
      <c r="P14" s="465"/>
    </row>
    <row r="15" spans="1:16" ht="38.25">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465"/>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465"/>
    </row>
    <row r="17" spans="2:16" ht="13.5" thickBot="1">
      <c r="B17" t="str">
        <f t="shared" ref="B17:B71" si="0">IF(D17=F16,"","IU")</f>
        <v>IU</v>
      </c>
      <c r="C17" s="479">
        <f>IF(D11= "","-",D11)</f>
        <v>2024</v>
      </c>
      <c r="D17" s="112">
        <v>0</v>
      </c>
      <c r="E17" s="112">
        <v>99146.879389161753</v>
      </c>
      <c r="F17" s="112">
        <v>5849665.8839605432</v>
      </c>
      <c r="G17" s="112">
        <v>433893.7972601449</v>
      </c>
      <c r="H17" s="112">
        <v>433893.7972601449</v>
      </c>
      <c r="I17" s="482">
        <v>0</v>
      </c>
      <c r="J17" s="482"/>
      <c r="K17" s="114">
        <f>+G17</f>
        <v>433893.7972601449</v>
      </c>
      <c r="L17" s="52">
        <f t="shared" ref="L17" si="1">IF(K17&lt;&gt;0,+G17-K17,0)</f>
        <v>0</v>
      </c>
      <c r="M17" s="114">
        <f>+H17</f>
        <v>433893.7972601449</v>
      </c>
      <c r="N17" s="483">
        <f t="shared" ref="N17" si="2">IF(M17&lt;&gt;0,+H17-M17,0)</f>
        <v>0</v>
      </c>
      <c r="O17" s="484">
        <f t="shared" ref="O17" si="3">+N17-L17</f>
        <v>0</v>
      </c>
      <c r="P17" s="465"/>
    </row>
    <row r="18" spans="2:16">
      <c r="B18" t="str">
        <f t="shared" si="0"/>
        <v/>
      </c>
      <c r="C18" s="479">
        <f>IF(D11="","-",+C17+1)</f>
        <v>2025</v>
      </c>
      <c r="D18" s="112">
        <v>5849665.8839605432</v>
      </c>
      <c r="E18" s="112">
        <v>198293.75877832351</v>
      </c>
      <c r="F18" s="112">
        <v>5651372.1251822198</v>
      </c>
      <c r="G18" s="112">
        <v>856440.24137212092</v>
      </c>
      <c r="H18" s="112">
        <v>856440.24137212092</v>
      </c>
      <c r="I18" s="482">
        <f t="shared" ref="I18:I71" si="4">H18-G18</f>
        <v>0</v>
      </c>
      <c r="J18" s="482"/>
      <c r="K18" s="114">
        <f>+G18</f>
        <v>856440.24137212092</v>
      </c>
      <c r="L18" s="52">
        <f t="shared" ref="L18" si="5">IF(K18&lt;&gt;0,+G18-K18,0)</f>
        <v>0</v>
      </c>
      <c r="M18" s="114">
        <f>+H18</f>
        <v>856440.24137212092</v>
      </c>
      <c r="N18" s="483">
        <f t="shared" ref="N18" si="6">IF(M18&lt;&gt;0,+H18-M18,0)</f>
        <v>0</v>
      </c>
      <c r="O18" s="484">
        <f t="shared" ref="O18" si="7">+N18-L18</f>
        <v>0</v>
      </c>
      <c r="P18" s="465"/>
    </row>
    <row r="19" spans="2:16">
      <c r="B19" t="str">
        <f t="shared" si="0"/>
        <v>IU</v>
      </c>
      <c r="C19" s="479">
        <f>IF(D11="","-",+C18+1)</f>
        <v>2026</v>
      </c>
      <c r="D19" s="481">
        <f>IF(F18+SUM(E$17:E18)=D$10,F18,D$10-SUM(E$17:E18))</f>
        <v>5651372.3618325144</v>
      </c>
      <c r="E19" s="55">
        <f t="shared" ref="E19:E71" si="8">IF(+I$14&lt;F18,I$14,D19)</f>
        <v>198293.76666666666</v>
      </c>
      <c r="F19" s="481">
        <f t="shared" ref="F19:F71" si="9">+D19-E19</f>
        <v>5453078.5951658478</v>
      </c>
      <c r="G19" s="485">
        <f t="shared" ref="G19:G71" si="10">(D19+F19)/2*I$12+E19</f>
        <v>835460.35498264642</v>
      </c>
      <c r="H19" s="478">
        <f t="shared" ref="H19:H71" si="11">+(D19+F19)/2*I$13+E19</f>
        <v>835460.35498264642</v>
      </c>
      <c r="I19" s="482">
        <f t="shared" si="4"/>
        <v>0</v>
      </c>
      <c r="J19" s="482"/>
      <c r="K19" s="112"/>
      <c r="L19" s="484">
        <f t="shared" ref="L19:L71" si="12">IF(K19&lt;&gt;0,+G19-K19,0)</f>
        <v>0</v>
      </c>
      <c r="M19" s="112"/>
      <c r="N19" s="484">
        <f t="shared" ref="N19:N71" si="13">IF(M19&lt;&gt;0,+H19-M19,0)</f>
        <v>0</v>
      </c>
      <c r="O19" s="484">
        <f t="shared" ref="O19:O71" si="14">+N19-L19</f>
        <v>0</v>
      </c>
      <c r="P19" s="465"/>
    </row>
    <row r="20" spans="2:16">
      <c r="B20" t="str">
        <f t="shared" si="0"/>
        <v/>
      </c>
      <c r="C20" s="479">
        <f>IF(D11="","-",+C19+1)</f>
        <v>2027</v>
      </c>
      <c r="D20" s="481">
        <f>IF(F19+SUM(E$17:E19)=D$10,F19,D$10-SUM(E$17:E19))</f>
        <v>5453078.5951658478</v>
      </c>
      <c r="E20" s="55">
        <f t="shared" si="8"/>
        <v>198293.76666666666</v>
      </c>
      <c r="F20" s="481">
        <f t="shared" si="9"/>
        <v>5254784.8284991812</v>
      </c>
      <c r="G20" s="485">
        <f t="shared" si="10"/>
        <v>812704.40544842882</v>
      </c>
      <c r="H20" s="478">
        <f t="shared" si="11"/>
        <v>812704.40544842882</v>
      </c>
      <c r="I20" s="482">
        <f t="shared" si="4"/>
        <v>0</v>
      </c>
      <c r="J20" s="482"/>
      <c r="K20" s="112"/>
      <c r="L20" s="484">
        <f t="shared" si="12"/>
        <v>0</v>
      </c>
      <c r="M20" s="112"/>
      <c r="N20" s="484">
        <f t="shared" si="13"/>
        <v>0</v>
      </c>
      <c r="O20" s="484">
        <f t="shared" si="14"/>
        <v>0</v>
      </c>
      <c r="P20" s="465"/>
    </row>
    <row r="21" spans="2:16">
      <c r="B21" t="str">
        <f t="shared" si="0"/>
        <v/>
      </c>
      <c r="C21" s="479">
        <f>IF(D11="","-",+C20+1)</f>
        <v>2028</v>
      </c>
      <c r="D21" s="481">
        <f>IF(F20+SUM(E$17:E20)=D$10,F20,D$10-SUM(E$17:E20))</f>
        <v>5254784.8284991812</v>
      </c>
      <c r="E21" s="55">
        <f t="shared" si="8"/>
        <v>198293.76666666666</v>
      </c>
      <c r="F21" s="481">
        <f t="shared" si="9"/>
        <v>5056491.0618325146</v>
      </c>
      <c r="G21" s="485">
        <f t="shared" si="10"/>
        <v>789948.45591421123</v>
      </c>
      <c r="H21" s="478">
        <f t="shared" si="11"/>
        <v>789948.45591421123</v>
      </c>
      <c r="I21" s="482">
        <f t="shared" si="4"/>
        <v>0</v>
      </c>
      <c r="J21" s="482"/>
      <c r="K21" s="112"/>
      <c r="L21" s="484">
        <f t="shared" si="12"/>
        <v>0</v>
      </c>
      <c r="M21" s="112"/>
      <c r="N21" s="484">
        <f t="shared" si="13"/>
        <v>0</v>
      </c>
      <c r="O21" s="484">
        <f t="shared" si="14"/>
        <v>0</v>
      </c>
      <c r="P21" s="465"/>
    </row>
    <row r="22" spans="2:16">
      <c r="B22" t="str">
        <f t="shared" si="0"/>
        <v/>
      </c>
      <c r="C22" s="479">
        <f>IF(D11="","-",+C21+1)</f>
        <v>2029</v>
      </c>
      <c r="D22" s="481">
        <f>IF(F21+SUM(E$17:E21)=D$10,F21,D$10-SUM(E$17:E21))</f>
        <v>5056491.0618325146</v>
      </c>
      <c r="E22" s="55">
        <f t="shared" si="8"/>
        <v>198293.76666666666</v>
      </c>
      <c r="F22" s="481">
        <f t="shared" si="9"/>
        <v>4858197.295165848</v>
      </c>
      <c r="G22" s="485">
        <f t="shared" si="10"/>
        <v>767192.5063799934</v>
      </c>
      <c r="H22" s="478">
        <f t="shared" si="11"/>
        <v>767192.5063799934</v>
      </c>
      <c r="I22" s="482">
        <f t="shared" si="4"/>
        <v>0</v>
      </c>
      <c r="J22" s="482"/>
      <c r="K22" s="112"/>
      <c r="L22" s="484">
        <f t="shared" si="12"/>
        <v>0</v>
      </c>
      <c r="M22" s="112"/>
      <c r="N22" s="484">
        <f t="shared" si="13"/>
        <v>0</v>
      </c>
      <c r="O22" s="484">
        <f t="shared" si="14"/>
        <v>0</v>
      </c>
      <c r="P22" s="465"/>
    </row>
    <row r="23" spans="2:16">
      <c r="B23" t="str">
        <f t="shared" si="0"/>
        <v/>
      </c>
      <c r="C23" s="479">
        <f>IF(D11="","-",+C22+1)</f>
        <v>2030</v>
      </c>
      <c r="D23" s="481">
        <f>IF(F22+SUM(E$17:E22)=D$10,F22,D$10-SUM(E$17:E22))</f>
        <v>4858197.295165848</v>
      </c>
      <c r="E23" s="55">
        <f t="shared" si="8"/>
        <v>198293.76666666666</v>
      </c>
      <c r="F23" s="481">
        <f t="shared" si="9"/>
        <v>4659903.5284991814</v>
      </c>
      <c r="G23" s="485">
        <f t="shared" si="10"/>
        <v>744436.55684577581</v>
      </c>
      <c r="H23" s="478">
        <f t="shared" si="11"/>
        <v>744436.55684577581</v>
      </c>
      <c r="I23" s="482">
        <f t="shared" si="4"/>
        <v>0</v>
      </c>
      <c r="J23" s="482"/>
      <c r="K23" s="112"/>
      <c r="L23" s="484">
        <f t="shared" si="12"/>
        <v>0</v>
      </c>
      <c r="M23" s="112"/>
      <c r="N23" s="484">
        <f t="shared" si="13"/>
        <v>0</v>
      </c>
      <c r="O23" s="484">
        <f t="shared" si="14"/>
        <v>0</v>
      </c>
      <c r="P23" s="465"/>
    </row>
    <row r="24" spans="2:16">
      <c r="B24" t="str">
        <f t="shared" si="0"/>
        <v/>
      </c>
      <c r="C24" s="479">
        <f>IF(D11="","-",+C23+1)</f>
        <v>2031</v>
      </c>
      <c r="D24" s="481">
        <f>IF(F23+SUM(E$17:E23)=D$10,F23,D$10-SUM(E$17:E23))</f>
        <v>4659903.5284991814</v>
      </c>
      <c r="E24" s="55">
        <f t="shared" si="8"/>
        <v>198293.76666666666</v>
      </c>
      <c r="F24" s="481">
        <f t="shared" si="9"/>
        <v>4461609.7618325148</v>
      </c>
      <c r="G24" s="485">
        <f t="shared" si="10"/>
        <v>721680.60731155798</v>
      </c>
      <c r="H24" s="478">
        <f t="shared" si="11"/>
        <v>721680.60731155798</v>
      </c>
      <c r="I24" s="482">
        <f t="shared" si="4"/>
        <v>0</v>
      </c>
      <c r="J24" s="482"/>
      <c r="K24" s="112"/>
      <c r="L24" s="484">
        <f t="shared" si="12"/>
        <v>0</v>
      </c>
      <c r="M24" s="112"/>
      <c r="N24" s="484">
        <f t="shared" si="13"/>
        <v>0</v>
      </c>
      <c r="O24" s="484">
        <f t="shared" si="14"/>
        <v>0</v>
      </c>
      <c r="P24" s="465"/>
    </row>
    <row r="25" spans="2:16">
      <c r="B25" t="str">
        <f t="shared" si="0"/>
        <v/>
      </c>
      <c r="C25" s="479">
        <f>IF(D11="","-",+C24+1)</f>
        <v>2032</v>
      </c>
      <c r="D25" s="481">
        <f>IF(F24+SUM(E$17:E24)=D$10,F24,D$10-SUM(E$17:E24))</f>
        <v>4461609.7618325148</v>
      </c>
      <c r="E25" s="55">
        <f t="shared" si="8"/>
        <v>198293.76666666666</v>
      </c>
      <c r="F25" s="481">
        <f t="shared" si="9"/>
        <v>4263315.9951658482</v>
      </c>
      <c r="G25" s="485">
        <f t="shared" si="10"/>
        <v>698924.6577773405</v>
      </c>
      <c r="H25" s="478">
        <f t="shared" si="11"/>
        <v>698924.6577773405</v>
      </c>
      <c r="I25" s="482">
        <f t="shared" si="4"/>
        <v>0</v>
      </c>
      <c r="J25" s="482"/>
      <c r="K25" s="112"/>
      <c r="L25" s="484">
        <f t="shared" si="12"/>
        <v>0</v>
      </c>
      <c r="M25" s="112"/>
      <c r="N25" s="484">
        <f t="shared" si="13"/>
        <v>0</v>
      </c>
      <c r="O25" s="484">
        <f t="shared" si="14"/>
        <v>0</v>
      </c>
      <c r="P25" s="465"/>
    </row>
    <row r="26" spans="2:16">
      <c r="B26" t="str">
        <f t="shared" si="0"/>
        <v/>
      </c>
      <c r="C26" s="479">
        <f>IF(D11="","-",+C25+1)</f>
        <v>2033</v>
      </c>
      <c r="D26" s="481">
        <f>IF(F25+SUM(E$17:E25)=D$10,F25,D$10-SUM(E$17:E25))</f>
        <v>4263315.9951658482</v>
      </c>
      <c r="E26" s="55">
        <f t="shared" si="8"/>
        <v>198293.76666666666</v>
      </c>
      <c r="F26" s="481">
        <f t="shared" si="9"/>
        <v>4065022.2284991816</v>
      </c>
      <c r="G26" s="485">
        <f t="shared" si="10"/>
        <v>676168.70824312279</v>
      </c>
      <c r="H26" s="478">
        <f t="shared" si="11"/>
        <v>676168.70824312279</v>
      </c>
      <c r="I26" s="482">
        <f t="shared" si="4"/>
        <v>0</v>
      </c>
      <c r="J26" s="482"/>
      <c r="K26" s="112"/>
      <c r="L26" s="484">
        <f t="shared" si="12"/>
        <v>0</v>
      </c>
      <c r="M26" s="112"/>
      <c r="N26" s="484">
        <f t="shared" si="13"/>
        <v>0</v>
      </c>
      <c r="O26" s="484">
        <f t="shared" si="14"/>
        <v>0</v>
      </c>
      <c r="P26" s="465"/>
    </row>
    <row r="27" spans="2:16">
      <c r="B27" t="str">
        <f t="shared" si="0"/>
        <v/>
      </c>
      <c r="C27" s="479">
        <f>IF(D11="","-",+C26+1)</f>
        <v>2034</v>
      </c>
      <c r="D27" s="481">
        <f>IF(F26+SUM(E$17:E26)=D$10,F26,D$10-SUM(E$17:E26))</f>
        <v>4065022.2284991816</v>
      </c>
      <c r="E27" s="55">
        <f t="shared" si="8"/>
        <v>198293.76666666666</v>
      </c>
      <c r="F27" s="481">
        <f t="shared" si="9"/>
        <v>3866728.461832515</v>
      </c>
      <c r="G27" s="485">
        <f t="shared" si="10"/>
        <v>653412.75870890508</v>
      </c>
      <c r="H27" s="478">
        <f t="shared" si="11"/>
        <v>653412.75870890508</v>
      </c>
      <c r="I27" s="482">
        <f t="shared" si="4"/>
        <v>0</v>
      </c>
      <c r="J27" s="482"/>
      <c r="K27" s="112"/>
      <c r="L27" s="484">
        <f t="shared" si="12"/>
        <v>0</v>
      </c>
      <c r="M27" s="112"/>
      <c r="N27" s="484">
        <f t="shared" si="13"/>
        <v>0</v>
      </c>
      <c r="O27" s="484">
        <f t="shared" si="14"/>
        <v>0</v>
      </c>
      <c r="P27" s="465"/>
    </row>
    <row r="28" spans="2:16">
      <c r="B28" t="str">
        <f t="shared" si="0"/>
        <v/>
      </c>
      <c r="C28" s="479">
        <f>IF(D11="","-",+C27+1)</f>
        <v>2035</v>
      </c>
      <c r="D28" s="481">
        <f>IF(F27+SUM(E$17:E27)=D$10,F27,D$10-SUM(E$17:E27))</f>
        <v>3866728.461832515</v>
      </c>
      <c r="E28" s="55">
        <f t="shared" si="8"/>
        <v>198293.76666666666</v>
      </c>
      <c r="F28" s="481">
        <f t="shared" si="9"/>
        <v>3668434.6951658484</v>
      </c>
      <c r="G28" s="485">
        <f t="shared" si="10"/>
        <v>630656.80917468737</v>
      </c>
      <c r="H28" s="478">
        <f t="shared" si="11"/>
        <v>630656.80917468737</v>
      </c>
      <c r="I28" s="482">
        <f t="shared" si="4"/>
        <v>0</v>
      </c>
      <c r="J28" s="482"/>
      <c r="K28" s="112"/>
      <c r="L28" s="484">
        <f t="shared" si="12"/>
        <v>0</v>
      </c>
      <c r="M28" s="112"/>
      <c r="N28" s="484">
        <f t="shared" si="13"/>
        <v>0</v>
      </c>
      <c r="O28" s="484">
        <f t="shared" si="14"/>
        <v>0</v>
      </c>
      <c r="P28" s="465"/>
    </row>
    <row r="29" spans="2:16">
      <c r="B29" t="str">
        <f t="shared" si="0"/>
        <v/>
      </c>
      <c r="C29" s="479">
        <f>IF(D11="","-",+C28+1)</f>
        <v>2036</v>
      </c>
      <c r="D29" s="481">
        <f>IF(F28+SUM(E$17:E28)=D$10,F28,D$10-SUM(E$17:E28))</f>
        <v>3668434.6951658484</v>
      </c>
      <c r="E29" s="55">
        <f t="shared" si="8"/>
        <v>198293.76666666666</v>
      </c>
      <c r="F29" s="481">
        <f t="shared" si="9"/>
        <v>3470140.9284991818</v>
      </c>
      <c r="G29" s="485">
        <f t="shared" si="10"/>
        <v>607900.85964046977</v>
      </c>
      <c r="H29" s="478">
        <f t="shared" si="11"/>
        <v>607900.85964046977</v>
      </c>
      <c r="I29" s="482">
        <f t="shared" si="4"/>
        <v>0</v>
      </c>
      <c r="J29" s="482"/>
      <c r="K29" s="112"/>
      <c r="L29" s="484">
        <f t="shared" si="12"/>
        <v>0</v>
      </c>
      <c r="M29" s="112"/>
      <c r="N29" s="484">
        <f t="shared" si="13"/>
        <v>0</v>
      </c>
      <c r="O29" s="484">
        <f t="shared" si="14"/>
        <v>0</v>
      </c>
      <c r="P29" s="465"/>
    </row>
    <row r="30" spans="2:16">
      <c r="B30" t="str">
        <f t="shared" si="0"/>
        <v/>
      </c>
      <c r="C30" s="479">
        <f>IF(D11="","-",+C29+1)</f>
        <v>2037</v>
      </c>
      <c r="D30" s="481">
        <f>IF(F29+SUM(E$17:E29)=D$10,F29,D$10-SUM(E$17:E29))</f>
        <v>3470140.9284991818</v>
      </c>
      <c r="E30" s="55">
        <f t="shared" si="8"/>
        <v>198293.76666666666</v>
      </c>
      <c r="F30" s="481">
        <f t="shared" si="9"/>
        <v>3271847.1618325152</v>
      </c>
      <c r="G30" s="485">
        <f t="shared" si="10"/>
        <v>585144.91010625206</v>
      </c>
      <c r="H30" s="478">
        <f t="shared" si="11"/>
        <v>585144.91010625206</v>
      </c>
      <c r="I30" s="482">
        <f t="shared" si="4"/>
        <v>0</v>
      </c>
      <c r="J30" s="482"/>
      <c r="K30" s="112"/>
      <c r="L30" s="484">
        <f t="shared" si="12"/>
        <v>0</v>
      </c>
      <c r="M30" s="112"/>
      <c r="N30" s="484">
        <f t="shared" si="13"/>
        <v>0</v>
      </c>
      <c r="O30" s="484">
        <f t="shared" si="14"/>
        <v>0</v>
      </c>
      <c r="P30" s="465"/>
    </row>
    <row r="31" spans="2:16">
      <c r="B31" t="str">
        <f t="shared" si="0"/>
        <v/>
      </c>
      <c r="C31" s="479">
        <f>IF(D11="","-",+C30+1)</f>
        <v>2038</v>
      </c>
      <c r="D31" s="481">
        <f>IF(F30+SUM(E$17:E30)=D$10,F30,D$10-SUM(E$17:E30))</f>
        <v>3271847.1618325152</v>
      </c>
      <c r="E31" s="55">
        <f t="shared" si="8"/>
        <v>198293.76666666666</v>
      </c>
      <c r="F31" s="481">
        <f t="shared" si="9"/>
        <v>3073553.3951658485</v>
      </c>
      <c r="G31" s="485">
        <f t="shared" si="10"/>
        <v>562388.96057203435</v>
      </c>
      <c r="H31" s="478">
        <f t="shared" si="11"/>
        <v>562388.96057203435</v>
      </c>
      <c r="I31" s="482">
        <f t="shared" si="4"/>
        <v>0</v>
      </c>
      <c r="J31" s="482"/>
      <c r="K31" s="112"/>
      <c r="L31" s="484">
        <f t="shared" si="12"/>
        <v>0</v>
      </c>
      <c r="M31" s="112"/>
      <c r="N31" s="484">
        <f t="shared" si="13"/>
        <v>0</v>
      </c>
      <c r="O31" s="484">
        <f t="shared" si="14"/>
        <v>0</v>
      </c>
      <c r="P31" s="465"/>
    </row>
    <row r="32" spans="2:16">
      <c r="B32" t="str">
        <f t="shared" si="0"/>
        <v/>
      </c>
      <c r="C32" s="479">
        <f>IF(D11="","-",+C31+1)</f>
        <v>2039</v>
      </c>
      <c r="D32" s="481">
        <f>IF(F31+SUM(E$17:E31)=D$10,F31,D$10-SUM(E$17:E31))</f>
        <v>3073553.3951658485</v>
      </c>
      <c r="E32" s="55">
        <f t="shared" si="8"/>
        <v>198293.76666666666</v>
      </c>
      <c r="F32" s="481">
        <f t="shared" si="9"/>
        <v>2875259.6284991819</v>
      </c>
      <c r="G32" s="485">
        <f t="shared" si="10"/>
        <v>539633.01103781676</v>
      </c>
      <c r="H32" s="478">
        <f t="shared" si="11"/>
        <v>539633.01103781676</v>
      </c>
      <c r="I32" s="482">
        <f t="shared" si="4"/>
        <v>0</v>
      </c>
      <c r="J32" s="482"/>
      <c r="K32" s="112"/>
      <c r="L32" s="484">
        <f t="shared" si="12"/>
        <v>0</v>
      </c>
      <c r="M32" s="112"/>
      <c r="N32" s="484">
        <f t="shared" si="13"/>
        <v>0</v>
      </c>
      <c r="O32" s="484">
        <f t="shared" si="14"/>
        <v>0</v>
      </c>
      <c r="P32" s="465"/>
    </row>
    <row r="33" spans="2:16">
      <c r="B33" t="str">
        <f t="shared" si="0"/>
        <v/>
      </c>
      <c r="C33" s="479">
        <f>IF(D11="","-",+C32+1)</f>
        <v>2040</v>
      </c>
      <c r="D33" s="481">
        <f>IF(F32+SUM(E$17:E32)=D$10,F32,D$10-SUM(E$17:E32))</f>
        <v>2875259.6284991819</v>
      </c>
      <c r="E33" s="55">
        <f t="shared" si="8"/>
        <v>198293.76666666666</v>
      </c>
      <c r="F33" s="481">
        <f t="shared" si="9"/>
        <v>2676965.8618325153</v>
      </c>
      <c r="G33" s="485">
        <f t="shared" si="10"/>
        <v>516877.06150359911</v>
      </c>
      <c r="H33" s="478">
        <f t="shared" si="11"/>
        <v>516877.06150359911</v>
      </c>
      <c r="I33" s="482">
        <f t="shared" si="4"/>
        <v>0</v>
      </c>
      <c r="J33" s="482"/>
      <c r="K33" s="112"/>
      <c r="L33" s="484">
        <f t="shared" si="12"/>
        <v>0</v>
      </c>
      <c r="M33" s="112"/>
      <c r="N33" s="484">
        <f t="shared" si="13"/>
        <v>0</v>
      </c>
      <c r="O33" s="484">
        <f t="shared" si="14"/>
        <v>0</v>
      </c>
      <c r="P33" s="465"/>
    </row>
    <row r="34" spans="2:16">
      <c r="B34" t="str">
        <f t="shared" si="0"/>
        <v/>
      </c>
      <c r="C34" s="479">
        <f>IF(D11="","-",+C33+1)</f>
        <v>2041</v>
      </c>
      <c r="D34" s="481">
        <f>IF(F33+SUM(E$17:E33)=D$10,F33,D$10-SUM(E$17:E33))</f>
        <v>2676965.8618325153</v>
      </c>
      <c r="E34" s="55">
        <f t="shared" si="8"/>
        <v>198293.76666666666</v>
      </c>
      <c r="F34" s="481">
        <f t="shared" si="9"/>
        <v>2478672.0951658487</v>
      </c>
      <c r="G34" s="485">
        <f t="shared" si="10"/>
        <v>494121.1119693814</v>
      </c>
      <c r="H34" s="478">
        <f t="shared" si="11"/>
        <v>494121.1119693814</v>
      </c>
      <c r="I34" s="482">
        <f t="shared" si="4"/>
        <v>0</v>
      </c>
      <c r="J34" s="482"/>
      <c r="K34" s="112"/>
      <c r="L34" s="484">
        <f t="shared" si="12"/>
        <v>0</v>
      </c>
      <c r="M34" s="112"/>
      <c r="N34" s="484">
        <f t="shared" si="13"/>
        <v>0</v>
      </c>
      <c r="O34" s="484">
        <f t="shared" si="14"/>
        <v>0</v>
      </c>
      <c r="P34" s="465"/>
    </row>
    <row r="35" spans="2:16">
      <c r="B35" t="str">
        <f t="shared" si="0"/>
        <v/>
      </c>
      <c r="C35" s="479">
        <f>IF(D11="","-",+C34+1)</f>
        <v>2042</v>
      </c>
      <c r="D35" s="481">
        <f>IF(F34+SUM(E$17:E34)=D$10,F34,D$10-SUM(E$17:E34))</f>
        <v>2478672.0951658487</v>
      </c>
      <c r="E35" s="55">
        <f t="shared" si="8"/>
        <v>198293.76666666666</v>
      </c>
      <c r="F35" s="481">
        <f t="shared" si="9"/>
        <v>2280378.3284991821</v>
      </c>
      <c r="G35" s="485">
        <f t="shared" si="10"/>
        <v>471365.16243516374</v>
      </c>
      <c r="H35" s="478">
        <f t="shared" si="11"/>
        <v>471365.16243516374</v>
      </c>
      <c r="I35" s="482">
        <f t="shared" si="4"/>
        <v>0</v>
      </c>
      <c r="J35" s="482"/>
      <c r="K35" s="112"/>
      <c r="L35" s="484">
        <f t="shared" si="12"/>
        <v>0</v>
      </c>
      <c r="M35" s="112"/>
      <c r="N35" s="484">
        <f t="shared" si="13"/>
        <v>0</v>
      </c>
      <c r="O35" s="484">
        <f t="shared" si="14"/>
        <v>0</v>
      </c>
      <c r="P35" s="465"/>
    </row>
    <row r="36" spans="2:16">
      <c r="B36" t="str">
        <f t="shared" si="0"/>
        <v/>
      </c>
      <c r="C36" s="479">
        <f>IF(D11="","-",+C35+1)</f>
        <v>2043</v>
      </c>
      <c r="D36" s="481">
        <f>IF(F35+SUM(E$17:E35)=D$10,F35,D$10-SUM(E$17:E35))</f>
        <v>2280378.3284991821</v>
      </c>
      <c r="E36" s="55">
        <f t="shared" si="8"/>
        <v>198293.76666666666</v>
      </c>
      <c r="F36" s="481">
        <f t="shared" si="9"/>
        <v>2082084.5618325155</v>
      </c>
      <c r="G36" s="485">
        <f t="shared" si="10"/>
        <v>448609.21290094603</v>
      </c>
      <c r="H36" s="478">
        <f t="shared" si="11"/>
        <v>448609.21290094603</v>
      </c>
      <c r="I36" s="482">
        <f t="shared" si="4"/>
        <v>0</v>
      </c>
      <c r="J36" s="482"/>
      <c r="K36" s="112"/>
      <c r="L36" s="484">
        <f t="shared" si="12"/>
        <v>0</v>
      </c>
      <c r="M36" s="112"/>
      <c r="N36" s="484">
        <f t="shared" si="13"/>
        <v>0</v>
      </c>
      <c r="O36" s="484">
        <f t="shared" si="14"/>
        <v>0</v>
      </c>
      <c r="P36" s="465"/>
    </row>
    <row r="37" spans="2:16">
      <c r="B37" t="str">
        <f t="shared" si="0"/>
        <v/>
      </c>
      <c r="C37" s="479">
        <f>IF(D11="","-",+C36+1)</f>
        <v>2044</v>
      </c>
      <c r="D37" s="481">
        <f>IF(F36+SUM(E$17:E36)=D$10,F36,D$10-SUM(E$17:E36))</f>
        <v>2082084.5618325155</v>
      </c>
      <c r="E37" s="55">
        <f t="shared" si="8"/>
        <v>198293.76666666666</v>
      </c>
      <c r="F37" s="481">
        <f t="shared" si="9"/>
        <v>1883790.7951658489</v>
      </c>
      <c r="G37" s="485">
        <f t="shared" si="10"/>
        <v>425853.26336672844</v>
      </c>
      <c r="H37" s="478">
        <f t="shared" si="11"/>
        <v>425853.26336672844</v>
      </c>
      <c r="I37" s="482">
        <f t="shared" si="4"/>
        <v>0</v>
      </c>
      <c r="J37" s="482"/>
      <c r="K37" s="112"/>
      <c r="L37" s="484">
        <f t="shared" si="12"/>
        <v>0</v>
      </c>
      <c r="M37" s="112"/>
      <c r="N37" s="484">
        <f t="shared" si="13"/>
        <v>0</v>
      </c>
      <c r="O37" s="484">
        <f t="shared" si="14"/>
        <v>0</v>
      </c>
      <c r="P37" s="465"/>
    </row>
    <row r="38" spans="2:16">
      <c r="B38" t="str">
        <f t="shared" si="0"/>
        <v/>
      </c>
      <c r="C38" s="479">
        <f>IF(D11="","-",+C37+1)</f>
        <v>2045</v>
      </c>
      <c r="D38" s="481">
        <f>IF(F37+SUM(E$17:E37)=D$10,F37,D$10-SUM(E$17:E37))</f>
        <v>1883790.7951658489</v>
      </c>
      <c r="E38" s="55">
        <f t="shared" si="8"/>
        <v>198293.76666666666</v>
      </c>
      <c r="F38" s="481">
        <f t="shared" si="9"/>
        <v>1685497.0284991823</v>
      </c>
      <c r="G38" s="485">
        <f t="shared" si="10"/>
        <v>403097.31383251073</v>
      </c>
      <c r="H38" s="478">
        <f t="shared" si="11"/>
        <v>403097.31383251073</v>
      </c>
      <c r="I38" s="482">
        <f t="shared" si="4"/>
        <v>0</v>
      </c>
      <c r="J38" s="482"/>
      <c r="K38" s="112"/>
      <c r="L38" s="484">
        <f t="shared" si="12"/>
        <v>0</v>
      </c>
      <c r="M38" s="112"/>
      <c r="N38" s="484">
        <f t="shared" si="13"/>
        <v>0</v>
      </c>
      <c r="O38" s="484">
        <f t="shared" si="14"/>
        <v>0</v>
      </c>
      <c r="P38" s="465"/>
    </row>
    <row r="39" spans="2:16">
      <c r="B39" t="str">
        <f t="shared" si="0"/>
        <v/>
      </c>
      <c r="C39" s="479">
        <f>IF(D11="","-",+C38+1)</f>
        <v>2046</v>
      </c>
      <c r="D39" s="481">
        <f>IF(F38+SUM(E$17:E38)=D$10,F38,D$10-SUM(E$17:E38))</f>
        <v>1685497.0284991823</v>
      </c>
      <c r="E39" s="55">
        <f t="shared" si="8"/>
        <v>198293.76666666666</v>
      </c>
      <c r="F39" s="481">
        <f t="shared" si="9"/>
        <v>1487203.2618325157</v>
      </c>
      <c r="G39" s="485">
        <f t="shared" si="10"/>
        <v>380341.36429829308</v>
      </c>
      <c r="H39" s="478">
        <f t="shared" si="11"/>
        <v>380341.36429829308</v>
      </c>
      <c r="I39" s="482">
        <f t="shared" si="4"/>
        <v>0</v>
      </c>
      <c r="J39" s="482"/>
      <c r="K39" s="112"/>
      <c r="L39" s="484">
        <f t="shared" si="12"/>
        <v>0</v>
      </c>
      <c r="M39" s="112"/>
      <c r="N39" s="484">
        <f t="shared" si="13"/>
        <v>0</v>
      </c>
      <c r="O39" s="484">
        <f t="shared" si="14"/>
        <v>0</v>
      </c>
      <c r="P39" s="465"/>
    </row>
    <row r="40" spans="2:16">
      <c r="B40" t="str">
        <f t="shared" si="0"/>
        <v/>
      </c>
      <c r="C40" s="479">
        <f>IF(D11="","-",+C39+1)</f>
        <v>2047</v>
      </c>
      <c r="D40" s="481">
        <f>IF(F39+SUM(E$17:E39)=D$10,F39,D$10-SUM(E$17:E39))</f>
        <v>1487203.2618325157</v>
      </c>
      <c r="E40" s="55">
        <f t="shared" si="8"/>
        <v>198293.76666666666</v>
      </c>
      <c r="F40" s="481">
        <f t="shared" si="9"/>
        <v>1288909.4951658491</v>
      </c>
      <c r="G40" s="485">
        <f t="shared" si="10"/>
        <v>357585.41476407542</v>
      </c>
      <c r="H40" s="478">
        <f t="shared" si="11"/>
        <v>357585.41476407542</v>
      </c>
      <c r="I40" s="482">
        <f t="shared" si="4"/>
        <v>0</v>
      </c>
      <c r="J40" s="482"/>
      <c r="K40" s="112"/>
      <c r="L40" s="484">
        <f t="shared" si="12"/>
        <v>0</v>
      </c>
      <c r="M40" s="112"/>
      <c r="N40" s="484">
        <f t="shared" si="13"/>
        <v>0</v>
      </c>
      <c r="O40" s="484">
        <f t="shared" si="14"/>
        <v>0</v>
      </c>
      <c r="P40" s="465"/>
    </row>
    <row r="41" spans="2:16">
      <c r="B41" t="str">
        <f t="shared" si="0"/>
        <v/>
      </c>
      <c r="C41" s="479">
        <f>IF(D11="","-",+C40+1)</f>
        <v>2048</v>
      </c>
      <c r="D41" s="481">
        <f>IF(F40+SUM(E$17:E40)=D$10,F40,D$10-SUM(E$17:E40))</f>
        <v>1288909.4951658491</v>
      </c>
      <c r="E41" s="55">
        <f t="shared" si="8"/>
        <v>198293.76666666666</v>
      </c>
      <c r="F41" s="481">
        <f t="shared" si="9"/>
        <v>1090615.7284991825</v>
      </c>
      <c r="G41" s="485">
        <f t="shared" si="10"/>
        <v>334829.46522985771</v>
      </c>
      <c r="H41" s="478">
        <f t="shared" si="11"/>
        <v>334829.46522985771</v>
      </c>
      <c r="I41" s="482">
        <f t="shared" si="4"/>
        <v>0</v>
      </c>
      <c r="J41" s="482"/>
      <c r="K41" s="112"/>
      <c r="L41" s="484">
        <f t="shared" si="12"/>
        <v>0</v>
      </c>
      <c r="M41" s="112"/>
      <c r="N41" s="484">
        <f t="shared" si="13"/>
        <v>0</v>
      </c>
      <c r="O41" s="484">
        <f t="shared" si="14"/>
        <v>0</v>
      </c>
      <c r="P41" s="465"/>
    </row>
    <row r="42" spans="2:16">
      <c r="B42" t="str">
        <f t="shared" si="0"/>
        <v/>
      </c>
      <c r="C42" s="479">
        <f>IF(D11="","-",+C41+1)</f>
        <v>2049</v>
      </c>
      <c r="D42" s="481">
        <f>IF(F41+SUM(E$17:E41)=D$10,F41,D$10-SUM(E$17:E41))</f>
        <v>1090615.7284991825</v>
      </c>
      <c r="E42" s="55">
        <f t="shared" si="8"/>
        <v>198293.76666666666</v>
      </c>
      <c r="F42" s="481">
        <f t="shared" si="9"/>
        <v>892321.9618325159</v>
      </c>
      <c r="G42" s="485">
        <f t="shared" si="10"/>
        <v>312073.51569564006</v>
      </c>
      <c r="H42" s="478">
        <f t="shared" si="11"/>
        <v>312073.51569564006</v>
      </c>
      <c r="I42" s="482">
        <f t="shared" si="4"/>
        <v>0</v>
      </c>
      <c r="J42" s="482"/>
      <c r="K42" s="112"/>
      <c r="L42" s="484">
        <f t="shared" si="12"/>
        <v>0</v>
      </c>
      <c r="M42" s="112"/>
      <c r="N42" s="484">
        <f t="shared" si="13"/>
        <v>0</v>
      </c>
      <c r="O42" s="484">
        <f t="shared" si="14"/>
        <v>0</v>
      </c>
      <c r="P42" s="465"/>
    </row>
    <row r="43" spans="2:16">
      <c r="B43" t="str">
        <f t="shared" si="0"/>
        <v/>
      </c>
      <c r="C43" s="479">
        <f>IF(D11="","-",+C42+1)</f>
        <v>2050</v>
      </c>
      <c r="D43" s="481">
        <f>IF(F42+SUM(E$17:E42)=D$10,F42,D$10-SUM(E$17:E42))</f>
        <v>892321.9618325159</v>
      </c>
      <c r="E43" s="55">
        <f t="shared" si="8"/>
        <v>198293.76666666666</v>
      </c>
      <c r="F43" s="481">
        <f t="shared" si="9"/>
        <v>694028.19516584929</v>
      </c>
      <c r="G43" s="485">
        <f t="shared" si="10"/>
        <v>289317.56616142241</v>
      </c>
      <c r="H43" s="478">
        <f t="shared" si="11"/>
        <v>289317.56616142241</v>
      </c>
      <c r="I43" s="482">
        <f t="shared" si="4"/>
        <v>0</v>
      </c>
      <c r="J43" s="482"/>
      <c r="K43" s="112"/>
      <c r="L43" s="484">
        <f t="shared" si="12"/>
        <v>0</v>
      </c>
      <c r="M43" s="112"/>
      <c r="N43" s="484">
        <f t="shared" si="13"/>
        <v>0</v>
      </c>
      <c r="O43" s="484">
        <f t="shared" si="14"/>
        <v>0</v>
      </c>
      <c r="P43" s="465"/>
    </row>
    <row r="44" spans="2:16">
      <c r="B44" t="str">
        <f t="shared" si="0"/>
        <v/>
      </c>
      <c r="C44" s="479">
        <f>IF(D11="","-",+C43+1)</f>
        <v>2051</v>
      </c>
      <c r="D44" s="481">
        <f>IF(F43+SUM(E$17:E43)=D$10,F43,D$10-SUM(E$17:E43))</f>
        <v>694028.19516584929</v>
      </c>
      <c r="E44" s="55">
        <f t="shared" si="8"/>
        <v>198293.76666666666</v>
      </c>
      <c r="F44" s="481">
        <f t="shared" si="9"/>
        <v>495734.42849918263</v>
      </c>
      <c r="G44" s="485">
        <f t="shared" si="10"/>
        <v>266561.6166272047</v>
      </c>
      <c r="H44" s="478">
        <f t="shared" si="11"/>
        <v>266561.6166272047</v>
      </c>
      <c r="I44" s="482">
        <f t="shared" si="4"/>
        <v>0</v>
      </c>
      <c r="J44" s="482"/>
      <c r="K44" s="112"/>
      <c r="L44" s="484">
        <f t="shared" si="12"/>
        <v>0</v>
      </c>
      <c r="M44" s="112"/>
      <c r="N44" s="484">
        <f t="shared" si="13"/>
        <v>0</v>
      </c>
      <c r="O44" s="484">
        <f t="shared" si="14"/>
        <v>0</v>
      </c>
      <c r="P44" s="465"/>
    </row>
    <row r="45" spans="2:16">
      <c r="B45" t="str">
        <f t="shared" si="0"/>
        <v/>
      </c>
      <c r="C45" s="479">
        <f>IF(D11="","-",+C44+1)</f>
        <v>2052</v>
      </c>
      <c r="D45" s="481">
        <f>IF(F44+SUM(E$17:E44)=D$10,F44,D$10-SUM(E$17:E44))</f>
        <v>495734.42849918263</v>
      </c>
      <c r="E45" s="55">
        <f t="shared" si="8"/>
        <v>198293.76666666666</v>
      </c>
      <c r="F45" s="481">
        <f t="shared" si="9"/>
        <v>297440.66183251597</v>
      </c>
      <c r="G45" s="485">
        <f t="shared" si="10"/>
        <v>243805.66709298705</v>
      </c>
      <c r="H45" s="478">
        <f t="shared" si="11"/>
        <v>243805.66709298705</v>
      </c>
      <c r="I45" s="482">
        <f t="shared" si="4"/>
        <v>0</v>
      </c>
      <c r="J45" s="482"/>
      <c r="K45" s="112"/>
      <c r="L45" s="484">
        <f t="shared" si="12"/>
        <v>0</v>
      </c>
      <c r="M45" s="112"/>
      <c r="N45" s="484">
        <f t="shared" si="13"/>
        <v>0</v>
      </c>
      <c r="O45" s="484">
        <f t="shared" si="14"/>
        <v>0</v>
      </c>
      <c r="P45" s="465"/>
    </row>
    <row r="46" spans="2:16">
      <c r="B46" t="str">
        <f t="shared" si="0"/>
        <v/>
      </c>
      <c r="C46" s="479">
        <f>IF(D11="","-",+C45+1)</f>
        <v>2053</v>
      </c>
      <c r="D46" s="481">
        <f>IF(F45+SUM(E$17:E45)=D$10,F45,D$10-SUM(E$17:E45))</f>
        <v>297440.66183251597</v>
      </c>
      <c r="E46" s="55">
        <f t="shared" si="8"/>
        <v>198293.76666666666</v>
      </c>
      <c r="F46" s="481">
        <f t="shared" si="9"/>
        <v>99146.895165849302</v>
      </c>
      <c r="G46" s="485">
        <f t="shared" si="10"/>
        <v>221049.71755876936</v>
      </c>
      <c r="H46" s="478">
        <f t="shared" si="11"/>
        <v>221049.71755876936</v>
      </c>
      <c r="I46" s="482">
        <f t="shared" si="4"/>
        <v>0</v>
      </c>
      <c r="J46" s="482"/>
      <c r="K46" s="112"/>
      <c r="L46" s="484">
        <f t="shared" si="12"/>
        <v>0</v>
      </c>
      <c r="M46" s="112"/>
      <c r="N46" s="484">
        <f t="shared" si="13"/>
        <v>0</v>
      </c>
      <c r="O46" s="484">
        <f t="shared" si="14"/>
        <v>0</v>
      </c>
      <c r="P46" s="465"/>
    </row>
    <row r="47" spans="2:16">
      <c r="B47" t="str">
        <f t="shared" si="0"/>
        <v/>
      </c>
      <c r="C47" s="479">
        <f>IF(D11="","-",+C46+1)</f>
        <v>2054</v>
      </c>
      <c r="D47" s="481">
        <f>IF(F46+SUM(E$17:E46)=D$10,F46,D$10-SUM(E$17:E46))</f>
        <v>99146.895165849302</v>
      </c>
      <c r="E47" s="55">
        <f t="shared" si="8"/>
        <v>99146.895165849302</v>
      </c>
      <c r="F47" s="481">
        <f t="shared" si="9"/>
        <v>0</v>
      </c>
      <c r="G47" s="485">
        <f t="shared" si="10"/>
        <v>104835.88322834624</v>
      </c>
      <c r="H47" s="478">
        <f t="shared" si="11"/>
        <v>104835.88322834624</v>
      </c>
      <c r="I47" s="482">
        <f t="shared" si="4"/>
        <v>0</v>
      </c>
      <c r="J47" s="482"/>
      <c r="K47" s="112"/>
      <c r="L47" s="484">
        <f t="shared" si="12"/>
        <v>0</v>
      </c>
      <c r="M47" s="112"/>
      <c r="N47" s="484">
        <f t="shared" si="13"/>
        <v>0</v>
      </c>
      <c r="O47" s="484">
        <f t="shared" si="14"/>
        <v>0</v>
      </c>
      <c r="P47" s="465"/>
    </row>
    <row r="48" spans="2:16">
      <c r="B48" t="str">
        <f t="shared" si="0"/>
        <v/>
      </c>
      <c r="C48" s="479">
        <f>IF(D11="","-",+C47+1)</f>
        <v>2055</v>
      </c>
      <c r="D48" s="481">
        <f>IF(F47+SUM(E$17:E47)=D$10,F47,D$10-SUM(E$17:E47))</f>
        <v>0</v>
      </c>
      <c r="E48" s="55">
        <f t="shared" si="8"/>
        <v>0</v>
      </c>
      <c r="F48" s="481">
        <f t="shared" si="9"/>
        <v>0</v>
      </c>
      <c r="G48" s="485">
        <f t="shared" si="10"/>
        <v>0</v>
      </c>
      <c r="H48" s="478">
        <f t="shared" si="11"/>
        <v>0</v>
      </c>
      <c r="I48" s="482">
        <f t="shared" si="4"/>
        <v>0</v>
      </c>
      <c r="J48" s="482"/>
      <c r="K48" s="112"/>
      <c r="L48" s="484">
        <f t="shared" si="12"/>
        <v>0</v>
      </c>
      <c r="M48" s="112"/>
      <c r="N48" s="484">
        <f t="shared" si="13"/>
        <v>0</v>
      </c>
      <c r="O48" s="484">
        <f t="shared" si="14"/>
        <v>0</v>
      </c>
      <c r="P48" s="465"/>
    </row>
    <row r="49" spans="2:16">
      <c r="B49" t="str">
        <f t="shared" si="0"/>
        <v/>
      </c>
      <c r="C49" s="479">
        <f>IF(D11="","-",+C48+1)</f>
        <v>2056</v>
      </c>
      <c r="D49" s="481">
        <f>IF(F48+SUM(E$17:E48)=D$10,F48,D$10-SUM(E$17:E48))</f>
        <v>0</v>
      </c>
      <c r="E49" s="55">
        <f t="shared" si="8"/>
        <v>0</v>
      </c>
      <c r="F49" s="481">
        <f t="shared" si="9"/>
        <v>0</v>
      </c>
      <c r="G49" s="485">
        <f t="shared" si="10"/>
        <v>0</v>
      </c>
      <c r="H49" s="478">
        <f t="shared" si="11"/>
        <v>0</v>
      </c>
      <c r="I49" s="482">
        <f t="shared" si="4"/>
        <v>0</v>
      </c>
      <c r="J49" s="482"/>
      <c r="K49" s="112"/>
      <c r="L49" s="484">
        <f t="shared" si="12"/>
        <v>0</v>
      </c>
      <c r="M49" s="112"/>
      <c r="N49" s="484">
        <f t="shared" si="13"/>
        <v>0</v>
      </c>
      <c r="O49" s="484">
        <f t="shared" si="14"/>
        <v>0</v>
      </c>
      <c r="P49" s="465"/>
    </row>
    <row r="50" spans="2:16">
      <c r="B50" t="str">
        <f t="shared" si="0"/>
        <v/>
      </c>
      <c r="C50" s="479">
        <f>IF(D11="","-",+C49+1)</f>
        <v>2057</v>
      </c>
      <c r="D50" s="481">
        <f>IF(F49+SUM(E$17:E49)=D$10,F49,D$10-SUM(E$17:E49))</f>
        <v>0</v>
      </c>
      <c r="E50" s="55">
        <f t="shared" si="8"/>
        <v>0</v>
      </c>
      <c r="F50" s="481">
        <f t="shared" si="9"/>
        <v>0</v>
      </c>
      <c r="G50" s="485">
        <f t="shared" si="10"/>
        <v>0</v>
      </c>
      <c r="H50" s="478">
        <f t="shared" si="11"/>
        <v>0</v>
      </c>
      <c r="I50" s="482">
        <f t="shared" si="4"/>
        <v>0</v>
      </c>
      <c r="J50" s="482"/>
      <c r="K50" s="112"/>
      <c r="L50" s="484">
        <f t="shared" si="12"/>
        <v>0</v>
      </c>
      <c r="M50" s="112"/>
      <c r="N50" s="484">
        <f t="shared" si="13"/>
        <v>0</v>
      </c>
      <c r="O50" s="484">
        <f t="shared" si="14"/>
        <v>0</v>
      </c>
      <c r="P50" s="465"/>
    </row>
    <row r="51" spans="2:16">
      <c r="B51" t="str">
        <f t="shared" si="0"/>
        <v/>
      </c>
      <c r="C51" s="479">
        <f>IF(D11="","-",+C50+1)</f>
        <v>2058</v>
      </c>
      <c r="D51" s="481">
        <f>IF(F50+SUM(E$17:E50)=D$10,F50,D$10-SUM(E$17:E50))</f>
        <v>0</v>
      </c>
      <c r="E51" s="55">
        <f t="shared" si="8"/>
        <v>0</v>
      </c>
      <c r="F51" s="481">
        <f t="shared" si="9"/>
        <v>0</v>
      </c>
      <c r="G51" s="485">
        <f t="shared" si="10"/>
        <v>0</v>
      </c>
      <c r="H51" s="478">
        <f t="shared" si="11"/>
        <v>0</v>
      </c>
      <c r="I51" s="482">
        <f t="shared" si="4"/>
        <v>0</v>
      </c>
      <c r="J51" s="482"/>
      <c r="K51" s="112"/>
      <c r="L51" s="484">
        <f t="shared" si="12"/>
        <v>0</v>
      </c>
      <c r="M51" s="112"/>
      <c r="N51" s="484">
        <f t="shared" si="13"/>
        <v>0</v>
      </c>
      <c r="O51" s="484">
        <f t="shared" si="14"/>
        <v>0</v>
      </c>
      <c r="P51" s="465"/>
    </row>
    <row r="52" spans="2:16">
      <c r="B52" t="str">
        <f t="shared" si="0"/>
        <v/>
      </c>
      <c r="C52" s="479">
        <f>IF(D11="","-",+C51+1)</f>
        <v>2059</v>
      </c>
      <c r="D52" s="481">
        <f>IF(F51+SUM(E$17:E51)=D$10,F51,D$10-SUM(E$17:E51))</f>
        <v>0</v>
      </c>
      <c r="E52" s="55">
        <f t="shared" si="8"/>
        <v>0</v>
      </c>
      <c r="F52" s="481">
        <f t="shared" si="9"/>
        <v>0</v>
      </c>
      <c r="G52" s="485">
        <f t="shared" si="10"/>
        <v>0</v>
      </c>
      <c r="H52" s="478">
        <f t="shared" si="11"/>
        <v>0</v>
      </c>
      <c r="I52" s="482">
        <f t="shared" si="4"/>
        <v>0</v>
      </c>
      <c r="J52" s="482"/>
      <c r="K52" s="112"/>
      <c r="L52" s="484">
        <f t="shared" si="12"/>
        <v>0</v>
      </c>
      <c r="M52" s="112"/>
      <c r="N52" s="484">
        <f t="shared" si="13"/>
        <v>0</v>
      </c>
      <c r="O52" s="484">
        <f t="shared" si="14"/>
        <v>0</v>
      </c>
      <c r="P52" s="465"/>
    </row>
    <row r="53" spans="2:16">
      <c r="B53" t="str">
        <f t="shared" si="0"/>
        <v/>
      </c>
      <c r="C53" s="479">
        <f>IF(D11="","-",+C52+1)</f>
        <v>2060</v>
      </c>
      <c r="D53" s="481">
        <f>IF(F52+SUM(E$17:E52)=D$10,F52,D$10-SUM(E$17:E52))</f>
        <v>0</v>
      </c>
      <c r="E53" s="55">
        <f t="shared" si="8"/>
        <v>0</v>
      </c>
      <c r="F53" s="481">
        <f t="shared" si="9"/>
        <v>0</v>
      </c>
      <c r="G53" s="485">
        <f t="shared" si="10"/>
        <v>0</v>
      </c>
      <c r="H53" s="478">
        <f t="shared" si="11"/>
        <v>0</v>
      </c>
      <c r="I53" s="482">
        <f t="shared" si="4"/>
        <v>0</v>
      </c>
      <c r="J53" s="482"/>
      <c r="K53" s="112"/>
      <c r="L53" s="484">
        <f t="shared" si="12"/>
        <v>0</v>
      </c>
      <c r="M53" s="112"/>
      <c r="N53" s="484">
        <f t="shared" si="13"/>
        <v>0</v>
      </c>
      <c r="O53" s="484">
        <f t="shared" si="14"/>
        <v>0</v>
      </c>
      <c r="P53" s="465"/>
    </row>
    <row r="54" spans="2:16">
      <c r="B54" t="str">
        <f t="shared" si="0"/>
        <v/>
      </c>
      <c r="C54" s="479">
        <f>IF(D11="","-",+C53+1)</f>
        <v>2061</v>
      </c>
      <c r="D54" s="481">
        <f>IF(F53+SUM(E$17:E53)=D$10,F53,D$10-SUM(E$17:E53))</f>
        <v>0</v>
      </c>
      <c r="E54" s="55">
        <f t="shared" si="8"/>
        <v>0</v>
      </c>
      <c r="F54" s="481">
        <f t="shared" si="9"/>
        <v>0</v>
      </c>
      <c r="G54" s="485">
        <f t="shared" si="10"/>
        <v>0</v>
      </c>
      <c r="H54" s="478">
        <f t="shared" si="11"/>
        <v>0</v>
      </c>
      <c r="I54" s="482">
        <f t="shared" si="4"/>
        <v>0</v>
      </c>
      <c r="J54" s="482"/>
      <c r="K54" s="112"/>
      <c r="L54" s="484">
        <f t="shared" si="12"/>
        <v>0</v>
      </c>
      <c r="M54" s="112"/>
      <c r="N54" s="484">
        <f t="shared" si="13"/>
        <v>0</v>
      </c>
      <c r="O54" s="484">
        <f t="shared" si="14"/>
        <v>0</v>
      </c>
      <c r="P54" s="465"/>
    </row>
    <row r="55" spans="2:16">
      <c r="B55" t="str">
        <f t="shared" si="0"/>
        <v/>
      </c>
      <c r="C55" s="479">
        <f>IF(D11="","-",+C54+1)</f>
        <v>2062</v>
      </c>
      <c r="D55" s="481">
        <f>IF(F54+SUM(E$17:E54)=D$10,F54,D$10-SUM(E$17:E54))</f>
        <v>0</v>
      </c>
      <c r="E55" s="55">
        <f t="shared" si="8"/>
        <v>0</v>
      </c>
      <c r="F55" s="481">
        <f t="shared" si="9"/>
        <v>0</v>
      </c>
      <c r="G55" s="485">
        <f t="shared" si="10"/>
        <v>0</v>
      </c>
      <c r="H55" s="478">
        <f t="shared" si="11"/>
        <v>0</v>
      </c>
      <c r="I55" s="482">
        <f t="shared" si="4"/>
        <v>0</v>
      </c>
      <c r="J55" s="482"/>
      <c r="K55" s="112"/>
      <c r="L55" s="484">
        <f t="shared" si="12"/>
        <v>0</v>
      </c>
      <c r="M55" s="112"/>
      <c r="N55" s="484">
        <f t="shared" si="13"/>
        <v>0</v>
      </c>
      <c r="O55" s="484">
        <f t="shared" si="14"/>
        <v>0</v>
      </c>
      <c r="P55" s="465"/>
    </row>
    <row r="56" spans="2:16">
      <c r="B56" t="str">
        <f t="shared" si="0"/>
        <v/>
      </c>
      <c r="C56" s="479">
        <f>IF(D11="","-",+C55+1)</f>
        <v>2063</v>
      </c>
      <c r="D56" s="481">
        <f>IF(F55+SUM(E$17:E55)=D$10,F55,D$10-SUM(E$17:E55))</f>
        <v>0</v>
      </c>
      <c r="E56" s="55">
        <f t="shared" si="8"/>
        <v>0</v>
      </c>
      <c r="F56" s="481">
        <f t="shared" si="9"/>
        <v>0</v>
      </c>
      <c r="G56" s="485">
        <f t="shared" si="10"/>
        <v>0</v>
      </c>
      <c r="H56" s="478">
        <f t="shared" si="11"/>
        <v>0</v>
      </c>
      <c r="I56" s="482">
        <f t="shared" si="4"/>
        <v>0</v>
      </c>
      <c r="J56" s="482"/>
      <c r="K56" s="112"/>
      <c r="L56" s="484">
        <f t="shared" si="12"/>
        <v>0</v>
      </c>
      <c r="M56" s="112"/>
      <c r="N56" s="484">
        <f t="shared" si="13"/>
        <v>0</v>
      </c>
      <c r="O56" s="484">
        <f t="shared" si="14"/>
        <v>0</v>
      </c>
      <c r="P56" s="465"/>
    </row>
    <row r="57" spans="2:16">
      <c r="B57" t="str">
        <f t="shared" si="0"/>
        <v/>
      </c>
      <c r="C57" s="479">
        <f>IF(D11="","-",+C56+1)</f>
        <v>2064</v>
      </c>
      <c r="D57" s="481">
        <f>IF(F56+SUM(E$17:E56)=D$10,F56,D$10-SUM(E$17:E56))</f>
        <v>0</v>
      </c>
      <c r="E57" s="55">
        <f t="shared" si="8"/>
        <v>0</v>
      </c>
      <c r="F57" s="481">
        <f t="shared" si="9"/>
        <v>0</v>
      </c>
      <c r="G57" s="485">
        <f t="shared" si="10"/>
        <v>0</v>
      </c>
      <c r="H57" s="478">
        <f t="shared" si="11"/>
        <v>0</v>
      </c>
      <c r="I57" s="482">
        <f t="shared" si="4"/>
        <v>0</v>
      </c>
      <c r="J57" s="482"/>
      <c r="K57" s="112"/>
      <c r="L57" s="484">
        <f t="shared" si="12"/>
        <v>0</v>
      </c>
      <c r="M57" s="112"/>
      <c r="N57" s="484">
        <f t="shared" si="13"/>
        <v>0</v>
      </c>
      <c r="O57" s="484">
        <f t="shared" si="14"/>
        <v>0</v>
      </c>
      <c r="P57" s="465"/>
    </row>
    <row r="58" spans="2:16">
      <c r="B58" t="str">
        <f t="shared" si="0"/>
        <v/>
      </c>
      <c r="C58" s="479">
        <f>IF(D11="","-",+C57+1)</f>
        <v>2065</v>
      </c>
      <c r="D58" s="481">
        <f>IF(F57+SUM(E$17:E57)=D$10,F57,D$10-SUM(E$17:E57))</f>
        <v>0</v>
      </c>
      <c r="E58" s="55">
        <f t="shared" si="8"/>
        <v>0</v>
      </c>
      <c r="F58" s="481">
        <f t="shared" si="9"/>
        <v>0</v>
      </c>
      <c r="G58" s="485">
        <f t="shared" si="10"/>
        <v>0</v>
      </c>
      <c r="H58" s="478">
        <f t="shared" si="11"/>
        <v>0</v>
      </c>
      <c r="I58" s="482">
        <f t="shared" si="4"/>
        <v>0</v>
      </c>
      <c r="J58" s="482"/>
      <c r="K58" s="112"/>
      <c r="L58" s="484">
        <f t="shared" si="12"/>
        <v>0</v>
      </c>
      <c r="M58" s="112"/>
      <c r="N58" s="484">
        <f t="shared" si="13"/>
        <v>0</v>
      </c>
      <c r="O58" s="484">
        <f t="shared" si="14"/>
        <v>0</v>
      </c>
      <c r="P58" s="465"/>
    </row>
    <row r="59" spans="2:16">
      <c r="B59" t="str">
        <f t="shared" si="0"/>
        <v/>
      </c>
      <c r="C59" s="479">
        <f>IF(D11="","-",+C58+1)</f>
        <v>2066</v>
      </c>
      <c r="D59" s="481">
        <f>IF(F58+SUM(E$17:E58)=D$10,F58,D$10-SUM(E$17:E58))</f>
        <v>0</v>
      </c>
      <c r="E59" s="55">
        <f t="shared" si="8"/>
        <v>0</v>
      </c>
      <c r="F59" s="481">
        <f t="shared" si="9"/>
        <v>0</v>
      </c>
      <c r="G59" s="485">
        <f t="shared" si="10"/>
        <v>0</v>
      </c>
      <c r="H59" s="478">
        <f t="shared" si="11"/>
        <v>0</v>
      </c>
      <c r="I59" s="482">
        <f t="shared" si="4"/>
        <v>0</v>
      </c>
      <c r="J59" s="482"/>
      <c r="K59" s="112"/>
      <c r="L59" s="484">
        <f t="shared" si="12"/>
        <v>0</v>
      </c>
      <c r="M59" s="112"/>
      <c r="N59" s="484">
        <f t="shared" si="13"/>
        <v>0</v>
      </c>
      <c r="O59" s="484">
        <f t="shared" si="14"/>
        <v>0</v>
      </c>
      <c r="P59" s="465"/>
    </row>
    <row r="60" spans="2:16">
      <c r="B60" t="str">
        <f t="shared" si="0"/>
        <v/>
      </c>
      <c r="C60" s="479">
        <f>IF(D11="","-",+C59+1)</f>
        <v>2067</v>
      </c>
      <c r="D60" s="481">
        <f>IF(F59+SUM(E$17:E59)=D$10,F59,D$10-SUM(E$17:E59))</f>
        <v>0</v>
      </c>
      <c r="E60" s="55">
        <f t="shared" si="8"/>
        <v>0</v>
      </c>
      <c r="F60" s="481">
        <f t="shared" si="9"/>
        <v>0</v>
      </c>
      <c r="G60" s="485">
        <f t="shared" si="10"/>
        <v>0</v>
      </c>
      <c r="H60" s="478">
        <f t="shared" si="11"/>
        <v>0</v>
      </c>
      <c r="I60" s="482">
        <f t="shared" si="4"/>
        <v>0</v>
      </c>
      <c r="J60" s="482"/>
      <c r="K60" s="112"/>
      <c r="L60" s="484">
        <f t="shared" si="12"/>
        <v>0</v>
      </c>
      <c r="M60" s="112"/>
      <c r="N60" s="484">
        <f t="shared" si="13"/>
        <v>0</v>
      </c>
      <c r="O60" s="484">
        <f t="shared" si="14"/>
        <v>0</v>
      </c>
      <c r="P60" s="465"/>
    </row>
    <row r="61" spans="2:16">
      <c r="B61" t="str">
        <f t="shared" si="0"/>
        <v/>
      </c>
      <c r="C61" s="479">
        <f>IF(D11="","-",+C60+1)</f>
        <v>2068</v>
      </c>
      <c r="D61" s="481">
        <f>IF(F60+SUM(E$17:E60)=D$10,F60,D$10-SUM(E$17:E60))</f>
        <v>0</v>
      </c>
      <c r="E61" s="55">
        <f t="shared" si="8"/>
        <v>0</v>
      </c>
      <c r="F61" s="481">
        <f t="shared" si="9"/>
        <v>0</v>
      </c>
      <c r="G61" s="486">
        <f t="shared" si="10"/>
        <v>0</v>
      </c>
      <c r="H61" s="478">
        <f t="shared" si="11"/>
        <v>0</v>
      </c>
      <c r="I61" s="482">
        <f t="shared" si="4"/>
        <v>0</v>
      </c>
      <c r="J61" s="482"/>
      <c r="K61" s="112"/>
      <c r="L61" s="484">
        <f t="shared" si="12"/>
        <v>0</v>
      </c>
      <c r="M61" s="112"/>
      <c r="N61" s="484">
        <f t="shared" si="13"/>
        <v>0</v>
      </c>
      <c r="O61" s="484">
        <f t="shared" si="14"/>
        <v>0</v>
      </c>
      <c r="P61" s="465"/>
    </row>
    <row r="62" spans="2:16">
      <c r="B62" t="str">
        <f t="shared" si="0"/>
        <v/>
      </c>
      <c r="C62" s="479">
        <f>IF(D11="","-",+C61+1)</f>
        <v>2069</v>
      </c>
      <c r="D62" s="481">
        <f>IF(F61+SUM(E$17:E61)=D$10,F61,D$10-SUM(E$17:E61))</f>
        <v>0</v>
      </c>
      <c r="E62" s="55">
        <f t="shared" si="8"/>
        <v>0</v>
      </c>
      <c r="F62" s="481">
        <f t="shared" si="9"/>
        <v>0</v>
      </c>
      <c r="G62" s="486">
        <f t="shared" si="10"/>
        <v>0</v>
      </c>
      <c r="H62" s="478">
        <f t="shared" si="11"/>
        <v>0</v>
      </c>
      <c r="I62" s="482">
        <f t="shared" si="4"/>
        <v>0</v>
      </c>
      <c r="J62" s="482"/>
      <c r="K62" s="112"/>
      <c r="L62" s="484">
        <f t="shared" si="12"/>
        <v>0</v>
      </c>
      <c r="M62" s="112"/>
      <c r="N62" s="484">
        <f t="shared" si="13"/>
        <v>0</v>
      </c>
      <c r="O62" s="484">
        <f t="shared" si="14"/>
        <v>0</v>
      </c>
      <c r="P62" s="465"/>
    </row>
    <row r="63" spans="2:16">
      <c r="B63" t="str">
        <f t="shared" si="0"/>
        <v/>
      </c>
      <c r="C63" s="479">
        <f>IF(D11="","-",+C62+1)</f>
        <v>2070</v>
      </c>
      <c r="D63" s="481">
        <f>IF(F62+SUM(E$17:E62)=D$10,F62,D$10-SUM(E$17:E62))</f>
        <v>0</v>
      </c>
      <c r="E63" s="55">
        <f t="shared" si="8"/>
        <v>0</v>
      </c>
      <c r="F63" s="481">
        <f t="shared" si="9"/>
        <v>0</v>
      </c>
      <c r="G63" s="486">
        <f t="shared" si="10"/>
        <v>0</v>
      </c>
      <c r="H63" s="478">
        <f t="shared" si="11"/>
        <v>0</v>
      </c>
      <c r="I63" s="482">
        <f t="shared" si="4"/>
        <v>0</v>
      </c>
      <c r="J63" s="482"/>
      <c r="K63" s="112"/>
      <c r="L63" s="484">
        <f t="shared" si="12"/>
        <v>0</v>
      </c>
      <c r="M63" s="112"/>
      <c r="N63" s="484">
        <f t="shared" si="13"/>
        <v>0</v>
      </c>
      <c r="O63" s="484">
        <f t="shared" si="14"/>
        <v>0</v>
      </c>
      <c r="P63" s="465"/>
    </row>
    <row r="64" spans="2:16">
      <c r="B64" t="str">
        <f t="shared" si="0"/>
        <v/>
      </c>
      <c r="C64" s="479">
        <f>IF(D11="","-",+C63+1)</f>
        <v>2071</v>
      </c>
      <c r="D64" s="481">
        <f>IF(F63+SUM(E$17:E63)=D$10,F63,D$10-SUM(E$17:E63))</f>
        <v>0</v>
      </c>
      <c r="E64" s="55">
        <f t="shared" si="8"/>
        <v>0</v>
      </c>
      <c r="F64" s="481">
        <f t="shared" si="9"/>
        <v>0</v>
      </c>
      <c r="G64" s="486">
        <f t="shared" si="10"/>
        <v>0</v>
      </c>
      <c r="H64" s="478">
        <f t="shared" si="11"/>
        <v>0</v>
      </c>
      <c r="I64" s="482">
        <f t="shared" si="4"/>
        <v>0</v>
      </c>
      <c r="J64" s="482"/>
      <c r="K64" s="112"/>
      <c r="L64" s="484">
        <f t="shared" si="12"/>
        <v>0</v>
      </c>
      <c r="M64" s="112"/>
      <c r="N64" s="484">
        <f t="shared" si="13"/>
        <v>0</v>
      </c>
      <c r="O64" s="484">
        <f t="shared" si="14"/>
        <v>0</v>
      </c>
      <c r="P64" s="465"/>
    </row>
    <row r="65" spans="2:16">
      <c r="B65" t="str">
        <f t="shared" si="0"/>
        <v/>
      </c>
      <c r="C65" s="479">
        <f>IF(D11="","-",+C64+1)</f>
        <v>2072</v>
      </c>
      <c r="D65" s="481">
        <f>IF(F64+SUM(E$17:E64)=D$10,F64,D$10-SUM(E$17:E64))</f>
        <v>0</v>
      </c>
      <c r="E65" s="55">
        <f t="shared" si="8"/>
        <v>0</v>
      </c>
      <c r="F65" s="481">
        <f t="shared" si="9"/>
        <v>0</v>
      </c>
      <c r="G65" s="486">
        <f t="shared" si="10"/>
        <v>0</v>
      </c>
      <c r="H65" s="478">
        <f t="shared" si="11"/>
        <v>0</v>
      </c>
      <c r="I65" s="482">
        <f t="shared" si="4"/>
        <v>0</v>
      </c>
      <c r="J65" s="482"/>
      <c r="K65" s="112"/>
      <c r="L65" s="484">
        <f t="shared" si="12"/>
        <v>0</v>
      </c>
      <c r="M65" s="112"/>
      <c r="N65" s="484">
        <f t="shared" si="13"/>
        <v>0</v>
      </c>
      <c r="O65" s="484">
        <f t="shared" si="14"/>
        <v>0</v>
      </c>
      <c r="P65" s="465"/>
    </row>
    <row r="66" spans="2:16">
      <c r="B66" t="str">
        <f t="shared" si="0"/>
        <v/>
      </c>
      <c r="C66" s="479">
        <f>IF(D11="","-",+C65+1)</f>
        <v>2073</v>
      </c>
      <c r="D66" s="481">
        <f>IF(F65+SUM(E$17:E65)=D$10,F65,D$10-SUM(E$17:E65))</f>
        <v>0</v>
      </c>
      <c r="E66" s="55">
        <f t="shared" si="8"/>
        <v>0</v>
      </c>
      <c r="F66" s="481">
        <f t="shared" si="9"/>
        <v>0</v>
      </c>
      <c r="G66" s="486">
        <f t="shared" si="10"/>
        <v>0</v>
      </c>
      <c r="H66" s="478">
        <f t="shared" si="11"/>
        <v>0</v>
      </c>
      <c r="I66" s="482">
        <f t="shared" si="4"/>
        <v>0</v>
      </c>
      <c r="J66" s="482"/>
      <c r="K66" s="112"/>
      <c r="L66" s="484">
        <f t="shared" si="12"/>
        <v>0</v>
      </c>
      <c r="M66" s="112"/>
      <c r="N66" s="484">
        <f t="shared" si="13"/>
        <v>0</v>
      </c>
      <c r="O66" s="484">
        <f t="shared" si="14"/>
        <v>0</v>
      </c>
      <c r="P66" s="465"/>
    </row>
    <row r="67" spans="2:16">
      <c r="B67" t="str">
        <f t="shared" si="0"/>
        <v/>
      </c>
      <c r="C67" s="479">
        <f>IF(D11="","-",+C66+1)</f>
        <v>2074</v>
      </c>
      <c r="D67" s="481">
        <f>IF(F66+SUM(E$17:E66)=D$10,F66,D$10-SUM(E$17:E66))</f>
        <v>0</v>
      </c>
      <c r="E67" s="55">
        <f t="shared" si="8"/>
        <v>0</v>
      </c>
      <c r="F67" s="481">
        <f t="shared" si="9"/>
        <v>0</v>
      </c>
      <c r="G67" s="486">
        <f t="shared" si="10"/>
        <v>0</v>
      </c>
      <c r="H67" s="478">
        <f t="shared" si="11"/>
        <v>0</v>
      </c>
      <c r="I67" s="482">
        <f t="shared" si="4"/>
        <v>0</v>
      </c>
      <c r="J67" s="482"/>
      <c r="K67" s="112"/>
      <c r="L67" s="484">
        <f t="shared" si="12"/>
        <v>0</v>
      </c>
      <c r="M67" s="112"/>
      <c r="N67" s="484">
        <f t="shared" si="13"/>
        <v>0</v>
      </c>
      <c r="O67" s="484">
        <f t="shared" si="14"/>
        <v>0</v>
      </c>
      <c r="P67" s="465"/>
    </row>
    <row r="68" spans="2:16">
      <c r="B68" t="str">
        <f t="shared" si="0"/>
        <v/>
      </c>
      <c r="C68" s="479">
        <f>IF(D11="","-",+C67+1)</f>
        <v>2075</v>
      </c>
      <c r="D68" s="481">
        <f>IF(F67+SUM(E$17:E67)=D$10,F67,D$10-SUM(E$17:E67))</f>
        <v>0</v>
      </c>
      <c r="E68" s="55">
        <f t="shared" si="8"/>
        <v>0</v>
      </c>
      <c r="F68" s="481">
        <f t="shared" si="9"/>
        <v>0</v>
      </c>
      <c r="G68" s="486">
        <f t="shared" si="10"/>
        <v>0</v>
      </c>
      <c r="H68" s="478">
        <f t="shared" si="11"/>
        <v>0</v>
      </c>
      <c r="I68" s="482">
        <f t="shared" si="4"/>
        <v>0</v>
      </c>
      <c r="J68" s="482"/>
      <c r="K68" s="112"/>
      <c r="L68" s="484">
        <f t="shared" si="12"/>
        <v>0</v>
      </c>
      <c r="M68" s="112"/>
      <c r="N68" s="484">
        <f t="shared" si="13"/>
        <v>0</v>
      </c>
      <c r="O68" s="484">
        <f t="shared" si="14"/>
        <v>0</v>
      </c>
      <c r="P68" s="465"/>
    </row>
    <row r="69" spans="2:16">
      <c r="B69" t="str">
        <f t="shared" si="0"/>
        <v/>
      </c>
      <c r="C69" s="479">
        <f>IF(D11="","-",+C68+1)</f>
        <v>2076</v>
      </c>
      <c r="D69" s="481">
        <f>IF(F68+SUM(E$17:E68)=D$10,F68,D$10-SUM(E$17:E68))</f>
        <v>0</v>
      </c>
      <c r="E69" s="55">
        <f t="shared" si="8"/>
        <v>0</v>
      </c>
      <c r="F69" s="481">
        <f t="shared" si="9"/>
        <v>0</v>
      </c>
      <c r="G69" s="486">
        <f t="shared" si="10"/>
        <v>0</v>
      </c>
      <c r="H69" s="478">
        <f t="shared" si="11"/>
        <v>0</v>
      </c>
      <c r="I69" s="482">
        <f t="shared" si="4"/>
        <v>0</v>
      </c>
      <c r="J69" s="482"/>
      <c r="K69" s="112"/>
      <c r="L69" s="484">
        <f t="shared" si="12"/>
        <v>0</v>
      </c>
      <c r="M69" s="112"/>
      <c r="N69" s="484">
        <f t="shared" si="13"/>
        <v>0</v>
      </c>
      <c r="O69" s="484">
        <f t="shared" si="14"/>
        <v>0</v>
      </c>
      <c r="P69" s="465"/>
    </row>
    <row r="70" spans="2:16">
      <c r="B70" t="str">
        <f t="shared" si="0"/>
        <v/>
      </c>
      <c r="C70" s="479">
        <f>IF(D11="","-",+C69+1)</f>
        <v>2077</v>
      </c>
      <c r="D70" s="481">
        <f>IF(F69+SUM(E$17:E69)=D$10,F69,D$10-SUM(E$17:E69))</f>
        <v>0</v>
      </c>
      <c r="E70" s="55">
        <f t="shared" si="8"/>
        <v>0</v>
      </c>
      <c r="F70" s="481">
        <f t="shared" si="9"/>
        <v>0</v>
      </c>
      <c r="G70" s="486">
        <f t="shared" si="10"/>
        <v>0</v>
      </c>
      <c r="H70" s="478">
        <f t="shared" si="11"/>
        <v>0</v>
      </c>
      <c r="I70" s="482">
        <f t="shared" si="4"/>
        <v>0</v>
      </c>
      <c r="J70" s="482"/>
      <c r="K70" s="112"/>
      <c r="L70" s="484">
        <f t="shared" si="12"/>
        <v>0</v>
      </c>
      <c r="M70" s="112"/>
      <c r="N70" s="484">
        <f t="shared" si="13"/>
        <v>0</v>
      </c>
      <c r="O70" s="484">
        <f t="shared" si="14"/>
        <v>0</v>
      </c>
      <c r="P70" s="465"/>
    </row>
    <row r="71" spans="2:16">
      <c r="B71" t="str">
        <f t="shared" si="0"/>
        <v/>
      </c>
      <c r="C71" s="479">
        <f>IF(D11="","-",+C70+1)</f>
        <v>2078</v>
      </c>
      <c r="D71" s="481">
        <f>IF(F70+SUM(E$17:E70)=D$10,F70,D$10-SUM(E$17:E70))</f>
        <v>0</v>
      </c>
      <c r="E71" s="55">
        <f t="shared" si="8"/>
        <v>0</v>
      </c>
      <c r="F71" s="481">
        <f t="shared" si="9"/>
        <v>0</v>
      </c>
      <c r="G71" s="486">
        <f t="shared" si="10"/>
        <v>0</v>
      </c>
      <c r="H71" s="478">
        <f t="shared" si="11"/>
        <v>0</v>
      </c>
      <c r="I71" s="482">
        <f t="shared" si="4"/>
        <v>0</v>
      </c>
      <c r="J71" s="482"/>
      <c r="K71" s="112"/>
      <c r="L71" s="484">
        <f t="shared" si="12"/>
        <v>0</v>
      </c>
      <c r="M71" s="112"/>
      <c r="N71" s="484">
        <f t="shared" si="13"/>
        <v>0</v>
      </c>
      <c r="O71" s="484">
        <f t="shared" si="14"/>
        <v>0</v>
      </c>
      <c r="P71" s="465"/>
    </row>
    <row r="72" spans="2:16">
      <c r="C72" s="479">
        <f>IF(D12="","-",+C71+1)</f>
        <v>2079</v>
      </c>
      <c r="D72" s="481">
        <f>IF(F71+SUM(E$17:E71)=D$10,F71,D$10-SUM(E$17:E71))</f>
        <v>0</v>
      </c>
      <c r="E72" s="55">
        <f>IF(+I$14&lt;F71,I$14,D72)</f>
        <v>0</v>
      </c>
      <c r="F72" s="481">
        <f>+D72-E72</f>
        <v>0</v>
      </c>
      <c r="G72" s="486">
        <f>(D72+F72)/2*I$12+E72</f>
        <v>0</v>
      </c>
      <c r="H72" s="478">
        <f>+(D72+F72)/2*I$13+E72</f>
        <v>0</v>
      </c>
      <c r="I72" s="482">
        <f>H72-G72</f>
        <v>0</v>
      </c>
      <c r="J72" s="482"/>
      <c r="K72" s="112"/>
      <c r="L72" s="484">
        <f>IF(K72&lt;&gt;0,+G72-K72,0)</f>
        <v>0</v>
      </c>
      <c r="M72" s="112"/>
      <c r="N72" s="484">
        <f>IF(M72&lt;&gt;0,+H72-M72,0)</f>
        <v>0</v>
      </c>
      <c r="O72" s="484">
        <f>+N72-L72</f>
        <v>0</v>
      </c>
      <c r="P72" s="465"/>
    </row>
    <row r="73" spans="2:16" ht="13.5" thickBot="1">
      <c r="B73" t="str">
        <f>IF(D73=F71,"","IU")</f>
        <v/>
      </c>
      <c r="C73" s="487">
        <f>IF(D13="","-",+C72+1)</f>
        <v>2080</v>
      </c>
      <c r="D73" s="60">
        <f>IF(F72+SUM(E$17:E72)=D$10,F72,D$10-SUM(E$17:E72))</f>
        <v>0</v>
      </c>
      <c r="E73" s="60">
        <f>IF(+I$14&lt;F72,I$14,D73)</f>
        <v>0</v>
      </c>
      <c r="F73" s="488">
        <f>+D73-E73</f>
        <v>0</v>
      </c>
      <c r="G73" s="489">
        <f>(D73+F73)/2*I$12+E73</f>
        <v>0</v>
      </c>
      <c r="H73" s="471">
        <f>+(D73+F73)/2*I$13+E73</f>
        <v>0</v>
      </c>
      <c r="I73" s="490">
        <f>H73-G73</f>
        <v>0</v>
      </c>
      <c r="J73" s="482"/>
      <c r="K73" s="113"/>
      <c r="L73" s="491">
        <f>IF(K73&lt;&gt;0,+G73-K73,0)</f>
        <v>0</v>
      </c>
      <c r="M73" s="113"/>
      <c r="N73" s="491">
        <f>IF(M73&lt;&gt;0,+H73-M73,0)</f>
        <v>0</v>
      </c>
      <c r="O73" s="491">
        <f>+N73-L73</f>
        <v>0</v>
      </c>
      <c r="P73" s="465"/>
    </row>
    <row r="74" spans="2:16">
      <c r="C74" s="480" t="s">
        <v>75</v>
      </c>
      <c r="D74" s="468"/>
      <c r="E74" s="468">
        <f>SUM(E17:E73)</f>
        <v>5948813</v>
      </c>
      <c r="F74" s="468"/>
      <c r="G74" s="468">
        <f>SUM(G17:G73)</f>
        <v>16186310.937440433</v>
      </c>
      <c r="H74" s="468">
        <f>SUM(H17:H73)</f>
        <v>16186310.937440433</v>
      </c>
      <c r="I74" s="468">
        <f>SUM(I17:I73)</f>
        <v>0</v>
      </c>
      <c r="J74" s="468"/>
      <c r="K74" s="468"/>
      <c r="L74" s="468"/>
      <c r="M74" s="468"/>
      <c r="N74" s="468"/>
      <c r="O74" s="465"/>
      <c r="P74" s="465"/>
    </row>
    <row r="75" spans="2:16">
      <c r="D75" s="466"/>
      <c r="E75" s="465"/>
      <c r="F75" s="465"/>
      <c r="G75" s="465"/>
      <c r="H75" s="467"/>
      <c r="I75" s="467"/>
      <c r="J75" s="468"/>
      <c r="K75" s="467"/>
      <c r="L75" s="467"/>
      <c r="M75" s="467"/>
      <c r="N75" s="467"/>
      <c r="O75" s="465"/>
      <c r="P75" s="465"/>
    </row>
    <row r="76" spans="2:16">
      <c r="C76" s="29" t="s">
        <v>95</v>
      </c>
      <c r="D76" s="466"/>
      <c r="E76" s="465"/>
      <c r="F76" s="465"/>
      <c r="G76" s="465"/>
      <c r="H76" s="467"/>
      <c r="I76" s="467"/>
      <c r="J76" s="468"/>
      <c r="K76" s="467"/>
      <c r="L76" s="467"/>
      <c r="M76" s="467"/>
      <c r="N76" s="467"/>
      <c r="O76" s="465"/>
      <c r="P76" s="465"/>
    </row>
    <row r="77" spans="2:16">
      <c r="C77" s="25" t="s">
        <v>76</v>
      </c>
      <c r="D77" s="466"/>
      <c r="E77" s="465"/>
      <c r="F77" s="465"/>
      <c r="G77" s="465"/>
      <c r="H77" s="467"/>
      <c r="I77" s="467"/>
      <c r="J77" s="468"/>
      <c r="K77" s="467"/>
      <c r="L77" s="467"/>
      <c r="M77" s="467"/>
      <c r="N77" s="467"/>
      <c r="O77" s="465"/>
      <c r="P77" s="465"/>
    </row>
    <row r="78" spans="2:16">
      <c r="C78" s="25" t="s">
        <v>77</v>
      </c>
      <c r="D78" s="480"/>
      <c r="E78" s="480"/>
      <c r="F78" s="480"/>
      <c r="G78" s="468"/>
      <c r="H78" s="468"/>
      <c r="I78" s="492"/>
      <c r="J78" s="492"/>
      <c r="K78" s="492"/>
      <c r="L78" s="492"/>
      <c r="M78" s="492"/>
      <c r="N78" s="492"/>
      <c r="O78" s="465"/>
      <c r="P78" s="465"/>
    </row>
    <row r="79" spans="2:16">
      <c r="C79" s="25"/>
      <c r="D79" s="480"/>
      <c r="E79" s="480"/>
      <c r="F79" s="480"/>
      <c r="G79" s="468"/>
      <c r="H79" s="468"/>
      <c r="I79" s="492"/>
      <c r="J79" s="492"/>
      <c r="K79" s="492"/>
      <c r="L79" s="492"/>
      <c r="M79" s="492"/>
      <c r="N79" s="492"/>
      <c r="O79" s="465"/>
      <c r="P79" s="465"/>
    </row>
    <row r="80" spans="2:16">
      <c r="B80" s="465"/>
      <c r="C80" s="465"/>
      <c r="D80" s="466"/>
      <c r="E80" s="465"/>
      <c r="F80" s="480"/>
      <c r="G80" s="465"/>
      <c r="H80" s="467"/>
      <c r="I80" s="465"/>
      <c r="J80" s="465"/>
      <c r="K80" s="465"/>
      <c r="L80" s="465"/>
      <c r="M80" s="465"/>
      <c r="N80" s="465"/>
      <c r="O80" s="465"/>
      <c r="P80" s="465"/>
    </row>
    <row r="81" spans="1:16" ht="18">
      <c r="B81" s="465"/>
      <c r="C81" s="493"/>
      <c r="D81" s="466"/>
      <c r="E81" s="465"/>
      <c r="F81" s="480"/>
      <c r="G81" s="465"/>
      <c r="H81" s="467"/>
      <c r="I81" s="465"/>
      <c r="J81" s="465"/>
      <c r="K81" s="465"/>
      <c r="L81" s="465"/>
      <c r="M81" s="465"/>
      <c r="N81" s="465"/>
      <c r="P81" s="94" t="s">
        <v>128</v>
      </c>
    </row>
    <row r="82" spans="1:16">
      <c r="B82" s="465"/>
      <c r="C82" s="465"/>
      <c r="D82" s="466"/>
      <c r="E82" s="465"/>
      <c r="F82" s="480"/>
      <c r="G82" s="465"/>
      <c r="H82" s="467"/>
      <c r="I82" s="465"/>
      <c r="J82" s="465"/>
      <c r="K82" s="465"/>
      <c r="L82" s="465"/>
      <c r="M82" s="465"/>
      <c r="N82" s="465"/>
      <c r="O82" s="465"/>
      <c r="P82" s="465"/>
    </row>
    <row r="83" spans="1:16">
      <c r="B83" s="465"/>
      <c r="C83" s="465"/>
      <c r="D83" s="466"/>
      <c r="E83" s="465"/>
      <c r="F83" s="480"/>
      <c r="G83" s="465"/>
      <c r="H83" s="467"/>
      <c r="I83" s="465"/>
      <c r="J83" s="465"/>
      <c r="K83" s="465"/>
      <c r="L83" s="465"/>
      <c r="M83" s="465"/>
      <c r="N83" s="465"/>
      <c r="O83" s="465"/>
      <c r="P83" s="465"/>
    </row>
    <row r="84" spans="1:16" ht="20.25">
      <c r="A84" s="93" t="s">
        <v>190</v>
      </c>
      <c r="B84" s="465"/>
      <c r="C84" s="465"/>
      <c r="D84" s="466"/>
      <c r="E84" s="465"/>
      <c r="F84" s="280"/>
      <c r="G84" s="280"/>
      <c r="H84" s="465"/>
      <c r="I84" s="467"/>
      <c r="L84" s="12"/>
      <c r="M84" s="12"/>
      <c r="P84" s="12" t="str">
        <f ca="1">P1</f>
        <v>OKT Project 26 of 26</v>
      </c>
    </row>
    <row r="85" spans="1:16" ht="18">
      <c r="B85" s="465"/>
      <c r="C85" s="465"/>
      <c r="D85" s="466"/>
      <c r="E85" s="465"/>
      <c r="F85" s="465"/>
      <c r="G85" s="465"/>
      <c r="H85" s="465"/>
      <c r="I85" s="467"/>
      <c r="J85" s="465"/>
      <c r="K85" s="465"/>
      <c r="L85" s="465"/>
      <c r="M85" s="465"/>
      <c r="P85" s="99" t="s">
        <v>132</v>
      </c>
    </row>
    <row r="86" spans="1:16" ht="18.75" thickBot="1">
      <c r="B86" s="4" t="s">
        <v>42</v>
      </c>
      <c r="C86" s="66" t="s">
        <v>81</v>
      </c>
      <c r="D86" s="466"/>
      <c r="E86" s="465"/>
      <c r="F86" s="465"/>
      <c r="G86" s="465"/>
      <c r="H86" s="465"/>
      <c r="I86" s="467"/>
      <c r="J86" s="467"/>
      <c r="K86" s="468"/>
      <c r="L86" s="467"/>
      <c r="M86" s="467"/>
      <c r="N86" s="467"/>
      <c r="O86" s="468"/>
      <c r="P86" s="465"/>
    </row>
    <row r="87" spans="1:16" ht="15.75" thickBot="1">
      <c r="C87" s="8"/>
      <c r="D87" s="466"/>
      <c r="E87" s="465"/>
      <c r="F87" s="465"/>
      <c r="G87" s="465"/>
      <c r="H87" s="465"/>
      <c r="I87" s="467"/>
      <c r="J87" s="467"/>
      <c r="K87" s="468"/>
      <c r="L87" s="100">
        <f>+J93</f>
        <v>2025</v>
      </c>
      <c r="M87" s="494" t="s">
        <v>9</v>
      </c>
      <c r="N87" s="495" t="s">
        <v>134</v>
      </c>
      <c r="O87" s="496" t="s">
        <v>11</v>
      </c>
      <c r="P87" s="465"/>
    </row>
    <row r="88" spans="1:16" ht="15">
      <c r="C88" s="90" t="s">
        <v>44</v>
      </c>
      <c r="D88" s="466"/>
      <c r="E88" s="465"/>
      <c r="F88" s="465"/>
      <c r="G88" s="465"/>
      <c r="H88" s="15"/>
      <c r="I88" s="465" t="s">
        <v>45</v>
      </c>
      <c r="J88" s="465"/>
      <c r="K88" s="104"/>
      <c r="L88" s="497" t="s">
        <v>253</v>
      </c>
      <c r="M88" s="67">
        <f>IF(J93&lt;D11,0,VLOOKUP(J93,C17:O73,9))</f>
        <v>856440.24137212092</v>
      </c>
      <c r="N88" s="67">
        <f>IF(J93&lt;D11,0,VLOOKUP(J93,C17:O73,11))</f>
        <v>856440.24137212092</v>
      </c>
      <c r="O88" s="498">
        <f>+N88-M88</f>
        <v>0</v>
      </c>
      <c r="P88" s="465"/>
    </row>
    <row r="89" spans="1:16" ht="15.75">
      <c r="C89" s="6"/>
      <c r="D89" s="466"/>
      <c r="E89" s="465"/>
      <c r="F89" s="465"/>
      <c r="G89" s="465"/>
      <c r="H89" s="465"/>
      <c r="I89" s="20"/>
      <c r="J89" s="20"/>
      <c r="K89" s="106"/>
      <c r="L89" s="499" t="s">
        <v>254</v>
      </c>
      <c r="M89" s="69">
        <f>IF(J93&lt;D11,0,VLOOKUP(J93,C100:P155,6))</f>
        <v>1085394.073205458</v>
      </c>
      <c r="N89" s="69">
        <f>IF(J93&lt;D11,0,VLOOKUP(J93,C100:P155,7))</f>
        <v>1085394.073205458</v>
      </c>
      <c r="O89" s="500">
        <f>+N89-M89</f>
        <v>0</v>
      </c>
      <c r="P89" s="465"/>
    </row>
    <row r="90" spans="1:16" ht="13.5" thickBot="1">
      <c r="C90" s="25" t="s">
        <v>82</v>
      </c>
      <c r="D90" s="96" t="str">
        <f>+D7</f>
        <v>Line - Osage - Webb City Tap - Shidler 138 kV Rebuild</v>
      </c>
      <c r="E90" s="465"/>
      <c r="F90" s="465"/>
      <c r="G90" s="465"/>
      <c r="H90" s="465"/>
      <c r="I90" s="467"/>
      <c r="J90" s="467"/>
      <c r="K90" s="108"/>
      <c r="L90" s="501" t="s">
        <v>135</v>
      </c>
      <c r="M90" s="72">
        <f>+M89-M88</f>
        <v>228953.83183333708</v>
      </c>
      <c r="N90" s="72">
        <f>+N89-N88</f>
        <v>228953.83183333708</v>
      </c>
      <c r="O90" s="73">
        <f>+O89-O88</f>
        <v>0</v>
      </c>
      <c r="P90" s="465"/>
    </row>
    <row r="91" spans="1:16" ht="13.5" thickBot="1">
      <c r="C91" s="29"/>
      <c r="D91" s="65" t="str">
        <f>IF(D8="","",D8)</f>
        <v/>
      </c>
      <c r="E91" s="480"/>
      <c r="F91" s="480"/>
      <c r="G91" s="480"/>
      <c r="H91" s="472"/>
      <c r="I91" s="467"/>
      <c r="J91" s="467"/>
      <c r="K91" s="468"/>
      <c r="L91" s="467"/>
      <c r="M91" s="467"/>
      <c r="N91" s="467"/>
      <c r="O91" s="468"/>
      <c r="P91" s="465"/>
    </row>
    <row r="92" spans="1:16" ht="13.5" thickBot="1">
      <c r="C92" s="502" t="s">
        <v>83</v>
      </c>
      <c r="D92" s="88" t="str">
        <f>+D9</f>
        <v>TA2020138</v>
      </c>
      <c r="E92" s="75" t="str">
        <f>E9</f>
        <v xml:space="preserve">  SPP Project ID = </v>
      </c>
      <c r="F92" s="75">
        <f>F9</f>
        <v>93038</v>
      </c>
      <c r="G92" s="75"/>
      <c r="H92" s="75"/>
      <c r="I92" s="75"/>
      <c r="J92" s="75"/>
    </row>
    <row r="93" spans="1:16">
      <c r="C93" s="474" t="s">
        <v>49</v>
      </c>
      <c r="D93" s="503">
        <v>6873406.2200000007</v>
      </c>
      <c r="E93" s="465" t="s">
        <v>84</v>
      </c>
      <c r="H93" s="466"/>
      <c r="I93" s="466"/>
      <c r="J93" s="36">
        <v>2025</v>
      </c>
      <c r="K93" s="33"/>
      <c r="L93" s="468" t="s">
        <v>85</v>
      </c>
      <c r="P93" s="465"/>
    </row>
    <row r="94" spans="1:16">
      <c r="C94" s="474" t="s">
        <v>52</v>
      </c>
      <c r="D94" s="504">
        <v>2024</v>
      </c>
      <c r="E94" s="474" t="s">
        <v>53</v>
      </c>
      <c r="F94" s="466"/>
      <c r="G94" s="466"/>
      <c r="J94" s="475">
        <v>0</v>
      </c>
      <c r="K94" s="476"/>
      <c r="L94" t="str">
        <f>"          INPUT TRUE-UP ARR (WITH &amp; WITHOUT INCENTIVES) FROM EACH PRIOR YEAR"</f>
        <v xml:space="preserve">          INPUT TRUE-UP ARR (WITH &amp; WITHOUT INCENTIVES) FROM EACH PRIOR YEAR</v>
      </c>
      <c r="P94" s="465"/>
    </row>
    <row r="95" spans="1:16">
      <c r="C95" s="474" t="s">
        <v>54</v>
      </c>
      <c r="D95" s="504">
        <v>8</v>
      </c>
      <c r="E95" s="474" t="s">
        <v>55</v>
      </c>
      <c r="F95" s="466"/>
      <c r="G95" s="466"/>
      <c r="J95" s="477">
        <v>0.11475877389767174</v>
      </c>
      <c r="K95" s="280"/>
      <c r="L95" t="s">
        <v>86</v>
      </c>
      <c r="P95" s="465"/>
    </row>
    <row r="96" spans="1:16">
      <c r="C96" s="474" t="s">
        <v>57</v>
      </c>
      <c r="D96" s="475">
        <v>21</v>
      </c>
      <c r="E96" s="474" t="s">
        <v>58</v>
      </c>
      <c r="F96" s="466"/>
      <c r="G96" s="466"/>
      <c r="J96" s="477">
        <v>0.11475877389767174</v>
      </c>
      <c r="K96" s="280"/>
      <c r="L96" s="468" t="s">
        <v>59</v>
      </c>
      <c r="M96" s="280"/>
      <c r="N96" s="280"/>
      <c r="O96" s="280"/>
      <c r="P96" s="465"/>
    </row>
    <row r="97" spans="1:16" ht="13.5" thickBot="1">
      <c r="C97" s="474" t="s">
        <v>60</v>
      </c>
      <c r="D97" s="505" t="s">
        <v>61</v>
      </c>
      <c r="E97" s="506" t="s">
        <v>62</v>
      </c>
      <c r="F97" s="507"/>
      <c r="G97" s="507"/>
      <c r="H97" s="77"/>
      <c r="I97" s="77"/>
      <c r="J97" s="471">
        <f>IF(D93=0,0,D93/D96)</f>
        <v>327305.05809523811</v>
      </c>
      <c r="K97" s="468"/>
      <c r="L97" s="468"/>
      <c r="M97" s="468"/>
      <c r="N97" s="468"/>
      <c r="O97" s="468"/>
      <c r="P97" s="465"/>
    </row>
    <row r="98" spans="1:16" ht="38.25">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ht="13.5" thickBot="1">
      <c r="B100" t="str">
        <f t="shared" ref="B100:B155" si="15">IF(D100=F99,"","IU")</f>
        <v>IU</v>
      </c>
      <c r="C100" s="479">
        <f>IF(D94= "","-",D94)</f>
        <v>2024</v>
      </c>
      <c r="D100" s="512">
        <v>0</v>
      </c>
      <c r="E100" s="512">
        <v>103818.56841269841</v>
      </c>
      <c r="F100" s="512">
        <v>6436751.2415873017</v>
      </c>
      <c r="G100" s="512">
        <v>3218375.6207936509</v>
      </c>
      <c r="H100" s="512">
        <v>473155.40859713592</v>
      </c>
      <c r="I100" s="512">
        <v>473155.40859713592</v>
      </c>
      <c r="J100" s="484">
        <f t="shared" ref="J100:J131" si="16">+I100-H100</f>
        <v>0</v>
      </c>
      <c r="K100" s="484"/>
      <c r="L100" s="376">
        <f>+H100</f>
        <v>473155.40859713592</v>
      </c>
      <c r="M100" s="484">
        <f t="shared" ref="M100:M131" si="17">IF(L100&lt;&gt;0,+H100-L100,0)</f>
        <v>0</v>
      </c>
      <c r="N100" s="376">
        <f>+I100</f>
        <v>473155.40859713592</v>
      </c>
      <c r="O100" s="483">
        <f t="shared" ref="O100:O131" si="18">IF(N100&lt;&gt;0,+I100-N100,0)</f>
        <v>0</v>
      </c>
      <c r="P100" s="483">
        <f t="shared" ref="P100:P131" si="19">+O100-M100</f>
        <v>0</v>
      </c>
    </row>
    <row r="101" spans="1:16">
      <c r="B101" t="str">
        <f t="shared" si="15"/>
        <v>IU</v>
      </c>
      <c r="C101" s="479">
        <f>IF(D94="","-",+C100+1)</f>
        <v>2025</v>
      </c>
      <c r="D101" s="480">
        <f>IF(F100+SUM(E$100:E100)=D$93,F100,D$93-SUM(E$100:E100))</f>
        <v>6769587.6515873019</v>
      </c>
      <c r="E101" s="377">
        <f t="shared" ref="E101:E155" si="20">IF(+J$97&lt;F100,J$97,D101)</f>
        <v>327305.05809523811</v>
      </c>
      <c r="F101" s="481">
        <f t="shared" ref="F101:F155" si="21">+D101-E101</f>
        <v>6442282.5934920637</v>
      </c>
      <c r="G101" s="481">
        <f t="shared" ref="G101:G155" si="22">+(F101+D101)/2</f>
        <v>6605935.1225396823</v>
      </c>
      <c r="H101" s="459">
        <f t="shared" ref="H101:H102" si="23">(D101+F101)/2*J$95+E101</f>
        <v>1085394.073205458</v>
      </c>
      <c r="I101" s="521">
        <f t="shared" ref="I101:I155" si="24">+J$96*G101+E101</f>
        <v>1085394.073205458</v>
      </c>
      <c r="J101" s="484">
        <f t="shared" si="16"/>
        <v>0</v>
      </c>
      <c r="K101" s="484"/>
      <c r="L101" s="376">
        <f>+H101</f>
        <v>1085394.073205458</v>
      </c>
      <c r="M101" s="484">
        <f t="shared" ref="M101" si="25">IF(L101&lt;&gt;0,+H101-L101,0)</f>
        <v>0</v>
      </c>
      <c r="N101" s="376">
        <f>+I101</f>
        <v>1085394.073205458</v>
      </c>
      <c r="O101" s="483">
        <f t="shared" ref="O101" si="26">IF(N101&lt;&gt;0,+I101-N101,0)</f>
        <v>0</v>
      </c>
      <c r="P101" s="483">
        <f t="shared" ref="P101" si="27">+O101-M101</f>
        <v>0</v>
      </c>
    </row>
    <row r="102" spans="1:16">
      <c r="B102" t="str">
        <f t="shared" si="15"/>
        <v/>
      </c>
      <c r="C102" s="479">
        <f>IF(D94="","-",+C101+1)</f>
        <v>2026</v>
      </c>
      <c r="D102" s="480">
        <f>IF(F101+SUM(E$100:E101)=D$93,F101,D$93-SUM(E$100:E101))</f>
        <v>6442282.5934920637</v>
      </c>
      <c r="E102" s="377">
        <f t="shared" si="20"/>
        <v>327305.05809523811</v>
      </c>
      <c r="F102" s="481">
        <f t="shared" si="21"/>
        <v>6114977.5353968255</v>
      </c>
      <c r="G102" s="481">
        <f t="shared" si="22"/>
        <v>6278630.0644444451</v>
      </c>
      <c r="H102" s="459">
        <f t="shared" si="23"/>
        <v>1047832.9460479424</v>
      </c>
      <c r="I102" s="521">
        <f t="shared" si="24"/>
        <v>1047832.9460479424</v>
      </c>
      <c r="J102" s="484">
        <f t="shared" si="16"/>
        <v>0</v>
      </c>
      <c r="K102" s="484"/>
      <c r="L102" s="112"/>
      <c r="M102" s="484">
        <f t="shared" si="17"/>
        <v>0</v>
      </c>
      <c r="N102" s="112"/>
      <c r="O102" s="484">
        <f t="shared" si="18"/>
        <v>0</v>
      </c>
      <c r="P102" s="484">
        <f t="shared" si="19"/>
        <v>0</v>
      </c>
    </row>
    <row r="103" spans="1:16">
      <c r="B103" t="str">
        <f t="shared" si="15"/>
        <v/>
      </c>
      <c r="C103" s="479">
        <f>IF(D94="","-",+C102+1)</f>
        <v>2027</v>
      </c>
      <c r="D103" s="480">
        <f>IF(F102+SUM(E$100:E102)=D$93,F102,D$93-SUM(E$100:E102))</f>
        <v>6114977.5353968255</v>
      </c>
      <c r="E103" s="55">
        <f t="shared" si="20"/>
        <v>327305.05809523811</v>
      </c>
      <c r="F103" s="481">
        <f t="shared" si="21"/>
        <v>5787672.4773015874</v>
      </c>
      <c r="G103" s="481">
        <f t="shared" si="22"/>
        <v>5951325.006349206</v>
      </c>
      <c r="H103" s="486">
        <f t="shared" ref="H103:H107" si="28">+J$95*G103+E103</f>
        <v>1010271.8188904265</v>
      </c>
      <c r="I103" s="522">
        <f t="shared" si="24"/>
        <v>1010271.8188904265</v>
      </c>
      <c r="J103" s="484">
        <f t="shared" si="16"/>
        <v>0</v>
      </c>
      <c r="K103" s="484"/>
      <c r="L103" s="112"/>
      <c r="M103" s="484">
        <f t="shared" si="17"/>
        <v>0</v>
      </c>
      <c r="N103" s="112"/>
      <c r="O103" s="484">
        <f t="shared" si="18"/>
        <v>0</v>
      </c>
      <c r="P103" s="484">
        <f t="shared" si="19"/>
        <v>0</v>
      </c>
    </row>
    <row r="104" spans="1:16">
      <c r="B104" t="str">
        <f t="shared" si="15"/>
        <v/>
      </c>
      <c r="C104" s="479">
        <f>IF(D94="","-",+C103+1)</f>
        <v>2028</v>
      </c>
      <c r="D104" s="480">
        <f>IF(F103+SUM(E$100:E103)=D$93,F103,D$93-SUM(E$100:E103))</f>
        <v>5787672.4773015874</v>
      </c>
      <c r="E104" s="55">
        <f t="shared" si="20"/>
        <v>327305.05809523811</v>
      </c>
      <c r="F104" s="481">
        <f t="shared" si="21"/>
        <v>5460367.4192063492</v>
      </c>
      <c r="G104" s="481">
        <f t="shared" si="22"/>
        <v>5624019.9482539687</v>
      </c>
      <c r="H104" s="486">
        <f t="shared" si="28"/>
        <v>972710.69173291093</v>
      </c>
      <c r="I104" s="522">
        <f t="shared" si="24"/>
        <v>972710.69173291093</v>
      </c>
      <c r="J104" s="484">
        <f t="shared" si="16"/>
        <v>0</v>
      </c>
      <c r="K104" s="484"/>
      <c r="L104" s="112"/>
      <c r="M104" s="484">
        <f t="shared" si="17"/>
        <v>0</v>
      </c>
      <c r="N104" s="112"/>
      <c r="O104" s="484">
        <f t="shared" si="18"/>
        <v>0</v>
      </c>
      <c r="P104" s="484">
        <f t="shared" si="19"/>
        <v>0</v>
      </c>
    </row>
    <row r="105" spans="1:16">
      <c r="B105" t="str">
        <f t="shared" si="15"/>
        <v/>
      </c>
      <c r="C105" s="479">
        <f>IF(D94="","-",+C104+1)</f>
        <v>2029</v>
      </c>
      <c r="D105" s="480">
        <f>IF(F104+SUM(E$100:E104)=D$93,F104,D$93-SUM(E$100:E104))</f>
        <v>5460367.4192063492</v>
      </c>
      <c r="E105" s="55">
        <f t="shared" si="20"/>
        <v>327305.05809523811</v>
      </c>
      <c r="F105" s="481">
        <f t="shared" si="21"/>
        <v>5133062.361111111</v>
      </c>
      <c r="G105" s="481">
        <f t="shared" si="22"/>
        <v>5296714.8901587296</v>
      </c>
      <c r="H105" s="486">
        <f t="shared" si="28"/>
        <v>935149.56457539485</v>
      </c>
      <c r="I105" s="522">
        <f t="shared" si="24"/>
        <v>935149.56457539485</v>
      </c>
      <c r="J105" s="484">
        <f t="shared" si="16"/>
        <v>0</v>
      </c>
      <c r="K105" s="484"/>
      <c r="L105" s="112"/>
      <c r="M105" s="484">
        <f t="shared" si="17"/>
        <v>0</v>
      </c>
      <c r="N105" s="112"/>
      <c r="O105" s="484">
        <f t="shared" si="18"/>
        <v>0</v>
      </c>
      <c r="P105" s="484">
        <f t="shared" si="19"/>
        <v>0</v>
      </c>
    </row>
    <row r="106" spans="1:16">
      <c r="B106" t="str">
        <f t="shared" si="15"/>
        <v/>
      </c>
      <c r="C106" s="479">
        <f>IF(D94="","-",+C105+1)</f>
        <v>2030</v>
      </c>
      <c r="D106" s="480">
        <f>IF(F105+SUM(E$100:E105)=D$93,F105,D$93-SUM(E$100:E105))</f>
        <v>5133062.361111111</v>
      </c>
      <c r="E106" s="55">
        <f t="shared" si="20"/>
        <v>327305.05809523811</v>
      </c>
      <c r="F106" s="481">
        <f t="shared" si="21"/>
        <v>4805757.3030158728</v>
      </c>
      <c r="G106" s="481">
        <f t="shared" si="22"/>
        <v>4969409.8320634924</v>
      </c>
      <c r="H106" s="486">
        <f t="shared" si="28"/>
        <v>897588.43741787923</v>
      </c>
      <c r="I106" s="522">
        <f t="shared" si="24"/>
        <v>897588.43741787923</v>
      </c>
      <c r="J106" s="484">
        <f t="shared" si="16"/>
        <v>0</v>
      </c>
      <c r="K106" s="484"/>
      <c r="L106" s="112"/>
      <c r="M106" s="484">
        <f t="shared" si="17"/>
        <v>0</v>
      </c>
      <c r="N106" s="112"/>
      <c r="O106" s="484">
        <f t="shared" si="18"/>
        <v>0</v>
      </c>
      <c r="P106" s="484">
        <f t="shared" si="19"/>
        <v>0</v>
      </c>
    </row>
    <row r="107" spans="1:16">
      <c r="B107" t="str">
        <f t="shared" si="15"/>
        <v/>
      </c>
      <c r="C107" s="479">
        <f>IF(D94="","-",+C106+1)</f>
        <v>2031</v>
      </c>
      <c r="D107" s="480">
        <f>IF(F106+SUM(E$100:E106)=D$93,F106,D$93-SUM(E$100:E106))</f>
        <v>4805757.3030158728</v>
      </c>
      <c r="E107" s="55">
        <f t="shared" si="20"/>
        <v>327305.05809523811</v>
      </c>
      <c r="F107" s="481">
        <f t="shared" si="21"/>
        <v>4478452.2449206347</v>
      </c>
      <c r="G107" s="481">
        <f t="shared" si="22"/>
        <v>4642104.7739682533</v>
      </c>
      <c r="H107" s="486">
        <f t="shared" si="28"/>
        <v>860027.31026036339</v>
      </c>
      <c r="I107" s="522">
        <f t="shared" si="24"/>
        <v>860027.31026036339</v>
      </c>
      <c r="J107" s="484">
        <f t="shared" si="16"/>
        <v>0</v>
      </c>
      <c r="K107" s="484"/>
      <c r="L107" s="112"/>
      <c r="M107" s="484">
        <f t="shared" si="17"/>
        <v>0</v>
      </c>
      <c r="N107" s="112"/>
      <c r="O107" s="484">
        <f t="shared" si="18"/>
        <v>0</v>
      </c>
      <c r="P107" s="484">
        <f t="shared" si="19"/>
        <v>0</v>
      </c>
    </row>
    <row r="108" spans="1:16">
      <c r="B108" t="str">
        <f t="shared" si="15"/>
        <v/>
      </c>
      <c r="C108" s="479">
        <f>IF(D94="","-",+C107+1)</f>
        <v>2032</v>
      </c>
      <c r="D108" s="480">
        <f>IF(F107+SUM(E$100:E107)=D$93,F107,D$93-SUM(E$100:E107))</f>
        <v>4478452.2449206347</v>
      </c>
      <c r="E108" s="377">
        <f t="shared" si="20"/>
        <v>327305.05809523811</v>
      </c>
      <c r="F108" s="481">
        <f t="shared" si="21"/>
        <v>4151147.1868253965</v>
      </c>
      <c r="G108" s="481">
        <f t="shared" si="22"/>
        <v>4314799.715873016</v>
      </c>
      <c r="H108" s="459">
        <f t="shared" ref="H108:H155" si="29">(D108+F108)/2*J$95+E108</f>
        <v>822466.18310284778</v>
      </c>
      <c r="I108" s="521">
        <f t="shared" si="24"/>
        <v>822466.18310284778</v>
      </c>
      <c r="J108" s="484">
        <f t="shared" si="16"/>
        <v>0</v>
      </c>
      <c r="K108" s="484"/>
      <c r="L108" s="112"/>
      <c r="M108" s="484">
        <f t="shared" si="17"/>
        <v>0</v>
      </c>
      <c r="N108" s="112"/>
      <c r="O108" s="484">
        <f t="shared" si="18"/>
        <v>0</v>
      </c>
      <c r="P108" s="484">
        <f t="shared" si="19"/>
        <v>0</v>
      </c>
    </row>
    <row r="109" spans="1:16">
      <c r="B109" t="str">
        <f t="shared" si="15"/>
        <v/>
      </c>
      <c r="C109" s="479">
        <f>IF(D94="","-",+C108+1)</f>
        <v>2033</v>
      </c>
      <c r="D109" s="480">
        <f>IF(F108+SUM(E$100:E108)=D$93,F108,D$93-SUM(E$100:E108))</f>
        <v>4151147.1868253965</v>
      </c>
      <c r="E109" s="377">
        <f t="shared" si="20"/>
        <v>327305.05809523811</v>
      </c>
      <c r="F109" s="481">
        <f t="shared" si="21"/>
        <v>3823842.1287301583</v>
      </c>
      <c r="G109" s="481">
        <f t="shared" si="22"/>
        <v>3987494.6577777774</v>
      </c>
      <c r="H109" s="459">
        <f t="shared" si="29"/>
        <v>784905.05594533193</v>
      </c>
      <c r="I109" s="521">
        <f t="shared" si="24"/>
        <v>784905.05594533193</v>
      </c>
      <c r="J109" s="484">
        <f t="shared" si="16"/>
        <v>0</v>
      </c>
      <c r="K109" s="484"/>
      <c r="L109" s="112"/>
      <c r="M109" s="484">
        <f t="shared" si="17"/>
        <v>0</v>
      </c>
      <c r="N109" s="112"/>
      <c r="O109" s="484">
        <f t="shared" si="18"/>
        <v>0</v>
      </c>
      <c r="P109" s="484">
        <f t="shared" si="19"/>
        <v>0</v>
      </c>
    </row>
    <row r="110" spans="1:16">
      <c r="B110" t="str">
        <f t="shared" si="15"/>
        <v/>
      </c>
      <c r="C110" s="479">
        <f>IF(D94="","-",+C109+1)</f>
        <v>2034</v>
      </c>
      <c r="D110" s="480">
        <f>IF(F109+SUM(E$100:E109)=D$93,F109,D$93-SUM(E$100:E109))</f>
        <v>3823842.1287301583</v>
      </c>
      <c r="E110" s="377">
        <f t="shared" si="20"/>
        <v>327305.05809523811</v>
      </c>
      <c r="F110" s="481">
        <f t="shared" si="21"/>
        <v>3496537.0706349202</v>
      </c>
      <c r="G110" s="481">
        <f t="shared" si="22"/>
        <v>3660189.5996825392</v>
      </c>
      <c r="H110" s="459">
        <f t="shared" si="29"/>
        <v>747343.92878781632</v>
      </c>
      <c r="I110" s="521">
        <f t="shared" si="24"/>
        <v>747343.92878781632</v>
      </c>
      <c r="J110" s="484">
        <f t="shared" si="16"/>
        <v>0</v>
      </c>
      <c r="K110" s="484"/>
      <c r="L110" s="112"/>
      <c r="M110" s="484">
        <f t="shared" si="17"/>
        <v>0</v>
      </c>
      <c r="N110" s="112"/>
      <c r="O110" s="484">
        <f t="shared" si="18"/>
        <v>0</v>
      </c>
      <c r="P110" s="484">
        <f t="shared" si="19"/>
        <v>0</v>
      </c>
    </row>
    <row r="111" spans="1:16">
      <c r="B111" t="str">
        <f t="shared" si="15"/>
        <v/>
      </c>
      <c r="C111" s="479">
        <f>IF(D94="","-",+C110+1)</f>
        <v>2035</v>
      </c>
      <c r="D111" s="480">
        <f>IF(F110+SUM(E$100:E110)=D$93,F110,D$93-SUM(E$100:E110))</f>
        <v>3496537.0706349202</v>
      </c>
      <c r="E111" s="377">
        <f t="shared" si="20"/>
        <v>327305.05809523811</v>
      </c>
      <c r="F111" s="481">
        <f t="shared" si="21"/>
        <v>3169232.012539682</v>
      </c>
      <c r="G111" s="481">
        <f t="shared" si="22"/>
        <v>3332884.5415873011</v>
      </c>
      <c r="H111" s="459">
        <f t="shared" si="29"/>
        <v>709782.80163030047</v>
      </c>
      <c r="I111" s="521">
        <f t="shared" si="24"/>
        <v>709782.80163030047</v>
      </c>
      <c r="J111" s="484">
        <f t="shared" si="16"/>
        <v>0</v>
      </c>
      <c r="K111" s="484"/>
      <c r="L111" s="112"/>
      <c r="M111" s="484">
        <f t="shared" si="17"/>
        <v>0</v>
      </c>
      <c r="N111" s="112"/>
      <c r="O111" s="484">
        <f t="shared" si="18"/>
        <v>0</v>
      </c>
      <c r="P111" s="484">
        <f t="shared" si="19"/>
        <v>0</v>
      </c>
    </row>
    <row r="112" spans="1:16">
      <c r="B112" t="str">
        <f t="shared" si="15"/>
        <v/>
      </c>
      <c r="C112" s="479">
        <f>IF(D94="","-",+C111+1)</f>
        <v>2036</v>
      </c>
      <c r="D112" s="480">
        <f>IF(F111+SUM(E$100:E111)=D$93,F111,D$93-SUM(E$100:E111))</f>
        <v>3169232.012539682</v>
      </c>
      <c r="E112" s="377">
        <f t="shared" si="20"/>
        <v>327305.05809523811</v>
      </c>
      <c r="F112" s="481">
        <f t="shared" si="21"/>
        <v>2841926.9544444438</v>
      </c>
      <c r="G112" s="481">
        <f t="shared" si="22"/>
        <v>3005579.4834920629</v>
      </c>
      <c r="H112" s="459">
        <f t="shared" si="29"/>
        <v>672221.67447278474</v>
      </c>
      <c r="I112" s="521">
        <f t="shared" si="24"/>
        <v>672221.67447278474</v>
      </c>
      <c r="J112" s="484">
        <f t="shared" si="16"/>
        <v>0</v>
      </c>
      <c r="K112" s="484"/>
      <c r="L112" s="112"/>
      <c r="M112" s="484">
        <f t="shared" si="17"/>
        <v>0</v>
      </c>
      <c r="N112" s="112"/>
      <c r="O112" s="484">
        <f t="shared" si="18"/>
        <v>0</v>
      </c>
      <c r="P112" s="484">
        <f t="shared" si="19"/>
        <v>0</v>
      </c>
    </row>
    <row r="113" spans="2:16">
      <c r="B113" t="str">
        <f t="shared" si="15"/>
        <v/>
      </c>
      <c r="C113" s="479">
        <f>IF(D94="","-",+C112+1)</f>
        <v>2037</v>
      </c>
      <c r="D113" s="480">
        <f>IF(F112+SUM(E$100:E112)=D$93,F112,D$93-SUM(E$100:E112))</f>
        <v>2841926.9544444438</v>
      </c>
      <c r="E113" s="377">
        <f t="shared" si="20"/>
        <v>327305.05809523811</v>
      </c>
      <c r="F113" s="481">
        <f t="shared" si="21"/>
        <v>2514621.8963492056</v>
      </c>
      <c r="G113" s="481">
        <f t="shared" si="22"/>
        <v>2678274.4253968247</v>
      </c>
      <c r="H113" s="459">
        <f t="shared" si="29"/>
        <v>634660.54731526901</v>
      </c>
      <c r="I113" s="521">
        <f t="shared" si="24"/>
        <v>634660.54731526901</v>
      </c>
      <c r="J113" s="484">
        <f t="shared" si="16"/>
        <v>0</v>
      </c>
      <c r="K113" s="484"/>
      <c r="L113" s="112"/>
      <c r="M113" s="484">
        <f t="shared" si="17"/>
        <v>0</v>
      </c>
      <c r="N113" s="112"/>
      <c r="O113" s="484">
        <f t="shared" si="18"/>
        <v>0</v>
      </c>
      <c r="P113" s="484">
        <f t="shared" si="19"/>
        <v>0</v>
      </c>
    </row>
    <row r="114" spans="2:16">
      <c r="B114" t="str">
        <f t="shared" si="15"/>
        <v/>
      </c>
      <c r="C114" s="479">
        <f>IF(D94="","-",+C113+1)</f>
        <v>2038</v>
      </c>
      <c r="D114" s="480">
        <f>IF(F113+SUM(E$100:E113)=D$93,F113,D$93-SUM(E$100:E113))</f>
        <v>2514621.8963492056</v>
      </c>
      <c r="E114" s="377">
        <f t="shared" si="20"/>
        <v>327305.05809523811</v>
      </c>
      <c r="F114" s="481">
        <f t="shared" si="21"/>
        <v>2187316.8382539675</v>
      </c>
      <c r="G114" s="481">
        <f t="shared" si="22"/>
        <v>2350969.3673015865</v>
      </c>
      <c r="H114" s="459">
        <f t="shared" si="29"/>
        <v>597099.42015775328</v>
      </c>
      <c r="I114" s="521">
        <f t="shared" si="24"/>
        <v>597099.42015775328</v>
      </c>
      <c r="J114" s="484">
        <f t="shared" si="16"/>
        <v>0</v>
      </c>
      <c r="K114" s="484"/>
      <c r="L114" s="112"/>
      <c r="M114" s="484">
        <f t="shared" si="17"/>
        <v>0</v>
      </c>
      <c r="N114" s="112"/>
      <c r="O114" s="484">
        <f t="shared" si="18"/>
        <v>0</v>
      </c>
      <c r="P114" s="484">
        <f t="shared" si="19"/>
        <v>0</v>
      </c>
    </row>
    <row r="115" spans="2:16">
      <c r="B115" t="str">
        <f t="shared" si="15"/>
        <v/>
      </c>
      <c r="C115" s="479">
        <f>IF(D94="","-",+C114+1)</f>
        <v>2039</v>
      </c>
      <c r="D115" s="480">
        <f>IF(F114+SUM(E$100:E114)=D$93,F114,D$93-SUM(E$100:E114))</f>
        <v>2187316.8382539675</v>
      </c>
      <c r="E115" s="377">
        <f t="shared" si="20"/>
        <v>327305.05809523811</v>
      </c>
      <c r="F115" s="481">
        <f t="shared" si="21"/>
        <v>1860011.7801587293</v>
      </c>
      <c r="G115" s="481">
        <f t="shared" si="22"/>
        <v>2023664.3092063484</v>
      </c>
      <c r="H115" s="459">
        <f t="shared" si="29"/>
        <v>559538.29300023755</v>
      </c>
      <c r="I115" s="521">
        <f t="shared" si="24"/>
        <v>559538.29300023755</v>
      </c>
      <c r="J115" s="484">
        <f t="shared" si="16"/>
        <v>0</v>
      </c>
      <c r="K115" s="484"/>
      <c r="L115" s="112"/>
      <c r="M115" s="484">
        <f t="shared" si="17"/>
        <v>0</v>
      </c>
      <c r="N115" s="112"/>
      <c r="O115" s="484">
        <f t="shared" si="18"/>
        <v>0</v>
      </c>
      <c r="P115" s="484">
        <f t="shared" si="19"/>
        <v>0</v>
      </c>
    </row>
    <row r="116" spans="2:16">
      <c r="B116" t="str">
        <f t="shared" si="15"/>
        <v/>
      </c>
      <c r="C116" s="479">
        <f>IF(D94="","-",+C115+1)</f>
        <v>2040</v>
      </c>
      <c r="D116" s="480">
        <f>IF(F115+SUM(E$100:E115)=D$93,F115,D$93-SUM(E$100:E115))</f>
        <v>1860011.7801587293</v>
      </c>
      <c r="E116" s="377">
        <f t="shared" si="20"/>
        <v>327305.05809523811</v>
      </c>
      <c r="F116" s="481">
        <f t="shared" si="21"/>
        <v>1532706.7220634911</v>
      </c>
      <c r="G116" s="481">
        <f t="shared" si="22"/>
        <v>1696359.2511111102</v>
      </c>
      <c r="H116" s="459">
        <f t="shared" si="29"/>
        <v>521977.16584272176</v>
      </c>
      <c r="I116" s="521">
        <f t="shared" si="24"/>
        <v>521977.16584272176</v>
      </c>
      <c r="J116" s="484">
        <f t="shared" si="16"/>
        <v>0</v>
      </c>
      <c r="K116" s="484"/>
      <c r="L116" s="112"/>
      <c r="M116" s="484">
        <f t="shared" si="17"/>
        <v>0</v>
      </c>
      <c r="N116" s="112"/>
      <c r="O116" s="484">
        <f t="shared" si="18"/>
        <v>0</v>
      </c>
      <c r="P116" s="484">
        <f t="shared" si="19"/>
        <v>0</v>
      </c>
    </row>
    <row r="117" spans="2:16">
      <c r="B117" t="str">
        <f t="shared" si="15"/>
        <v/>
      </c>
      <c r="C117" s="479">
        <f>IF(D94="","-",+C116+1)</f>
        <v>2041</v>
      </c>
      <c r="D117" s="480">
        <f>IF(F116+SUM(E$100:E116)=D$93,F116,D$93-SUM(E$100:E116))</f>
        <v>1532706.7220634911</v>
      </c>
      <c r="E117" s="377">
        <f t="shared" si="20"/>
        <v>327305.05809523811</v>
      </c>
      <c r="F117" s="481">
        <f t="shared" si="21"/>
        <v>1205401.6639682529</v>
      </c>
      <c r="G117" s="481">
        <f t="shared" si="22"/>
        <v>1369054.193015872</v>
      </c>
      <c r="H117" s="459">
        <f t="shared" si="29"/>
        <v>484416.03868520597</v>
      </c>
      <c r="I117" s="521">
        <f t="shared" si="24"/>
        <v>484416.03868520597</v>
      </c>
      <c r="J117" s="484">
        <f t="shared" si="16"/>
        <v>0</v>
      </c>
      <c r="K117" s="484"/>
      <c r="L117" s="112"/>
      <c r="M117" s="484">
        <f t="shared" si="17"/>
        <v>0</v>
      </c>
      <c r="N117" s="112"/>
      <c r="O117" s="484">
        <f t="shared" si="18"/>
        <v>0</v>
      </c>
      <c r="P117" s="484">
        <f t="shared" si="19"/>
        <v>0</v>
      </c>
    </row>
    <row r="118" spans="2:16">
      <c r="B118" t="str">
        <f t="shared" si="15"/>
        <v/>
      </c>
      <c r="C118" s="479">
        <f>IF(D94="","-",+C117+1)</f>
        <v>2042</v>
      </c>
      <c r="D118" s="480">
        <f>IF(F117+SUM(E$100:E117)=D$93,F117,D$93-SUM(E$100:E117))</f>
        <v>1205401.6639682529</v>
      </c>
      <c r="E118" s="377">
        <f t="shared" si="20"/>
        <v>327305.05809523811</v>
      </c>
      <c r="F118" s="481">
        <f t="shared" si="21"/>
        <v>878096.60587301478</v>
      </c>
      <c r="G118" s="481">
        <f t="shared" si="22"/>
        <v>1041749.1349206339</v>
      </c>
      <c r="H118" s="459">
        <f t="shared" si="29"/>
        <v>446854.91152769024</v>
      </c>
      <c r="I118" s="521">
        <f t="shared" si="24"/>
        <v>446854.91152769024</v>
      </c>
      <c r="J118" s="484">
        <f t="shared" si="16"/>
        <v>0</v>
      </c>
      <c r="K118" s="484"/>
      <c r="L118" s="112"/>
      <c r="M118" s="484">
        <f t="shared" si="17"/>
        <v>0</v>
      </c>
      <c r="N118" s="112"/>
      <c r="O118" s="484">
        <f t="shared" si="18"/>
        <v>0</v>
      </c>
      <c r="P118" s="484">
        <f t="shared" si="19"/>
        <v>0</v>
      </c>
    </row>
    <row r="119" spans="2:16">
      <c r="B119" t="str">
        <f t="shared" si="15"/>
        <v/>
      </c>
      <c r="C119" s="479">
        <f>IF(D94="","-",+C118+1)</f>
        <v>2043</v>
      </c>
      <c r="D119" s="480">
        <f>IF(F118+SUM(E$100:E118)=D$93,F118,D$93-SUM(E$100:E118))</f>
        <v>878096.60587301478</v>
      </c>
      <c r="E119" s="377">
        <f t="shared" si="20"/>
        <v>327305.05809523811</v>
      </c>
      <c r="F119" s="481">
        <f t="shared" si="21"/>
        <v>550791.54777777661</v>
      </c>
      <c r="G119" s="481">
        <f t="shared" si="22"/>
        <v>714444.07682539569</v>
      </c>
      <c r="H119" s="459">
        <f t="shared" si="29"/>
        <v>409293.78437017452</v>
      </c>
      <c r="I119" s="521">
        <f t="shared" si="24"/>
        <v>409293.78437017452</v>
      </c>
      <c r="J119" s="484">
        <f t="shared" si="16"/>
        <v>0</v>
      </c>
      <c r="K119" s="484"/>
      <c r="L119" s="112"/>
      <c r="M119" s="484">
        <f t="shared" si="17"/>
        <v>0</v>
      </c>
      <c r="N119" s="112"/>
      <c r="O119" s="484">
        <f t="shared" si="18"/>
        <v>0</v>
      </c>
      <c r="P119" s="484">
        <f t="shared" si="19"/>
        <v>0</v>
      </c>
    </row>
    <row r="120" spans="2:16">
      <c r="B120" t="str">
        <f t="shared" si="15"/>
        <v/>
      </c>
      <c r="C120" s="479">
        <f>IF(D94="","-",+C119+1)</f>
        <v>2044</v>
      </c>
      <c r="D120" s="480">
        <f>IF(F119+SUM(E$100:E119)=D$93,F119,D$93-SUM(E$100:E119))</f>
        <v>550791.54777777661</v>
      </c>
      <c r="E120" s="377">
        <f t="shared" si="20"/>
        <v>327305.05809523811</v>
      </c>
      <c r="F120" s="481">
        <f t="shared" si="21"/>
        <v>223486.48968253849</v>
      </c>
      <c r="G120" s="481">
        <f t="shared" si="22"/>
        <v>387139.01873015752</v>
      </c>
      <c r="H120" s="459">
        <f t="shared" si="29"/>
        <v>371732.65721265879</v>
      </c>
      <c r="I120" s="521">
        <f t="shared" si="24"/>
        <v>371732.65721265879</v>
      </c>
      <c r="J120" s="484">
        <f t="shared" si="16"/>
        <v>0</v>
      </c>
      <c r="K120" s="484"/>
      <c r="L120" s="112"/>
      <c r="M120" s="484">
        <f t="shared" si="17"/>
        <v>0</v>
      </c>
      <c r="N120" s="112"/>
      <c r="O120" s="484">
        <f t="shared" si="18"/>
        <v>0</v>
      </c>
      <c r="P120" s="484">
        <f t="shared" si="19"/>
        <v>0</v>
      </c>
    </row>
    <row r="121" spans="2:16">
      <c r="B121" t="str">
        <f t="shared" si="15"/>
        <v/>
      </c>
      <c r="C121" s="479">
        <f>IF(D94="","-",+C120+1)</f>
        <v>2045</v>
      </c>
      <c r="D121" s="480">
        <f>IF(F120+SUM(E$100:E120)=D$93,F120,D$93-SUM(E$100:E120))</f>
        <v>223486.48968253849</v>
      </c>
      <c r="E121" s="377">
        <f t="shared" si="20"/>
        <v>223486.48968253849</v>
      </c>
      <c r="F121" s="481">
        <f t="shared" si="21"/>
        <v>0</v>
      </c>
      <c r="G121" s="481">
        <f t="shared" si="22"/>
        <v>111743.24484126925</v>
      </c>
      <c r="H121" s="459">
        <f t="shared" si="29"/>
        <v>236310.0074518699</v>
      </c>
      <c r="I121" s="521">
        <f t="shared" si="24"/>
        <v>236310.0074518699</v>
      </c>
      <c r="J121" s="484">
        <f t="shared" si="16"/>
        <v>0</v>
      </c>
      <c r="K121" s="484"/>
      <c r="L121" s="112"/>
      <c r="M121" s="484">
        <f t="shared" si="17"/>
        <v>0</v>
      </c>
      <c r="N121" s="112"/>
      <c r="O121" s="484">
        <f t="shared" si="18"/>
        <v>0</v>
      </c>
      <c r="P121" s="484">
        <f t="shared" si="19"/>
        <v>0</v>
      </c>
    </row>
    <row r="122" spans="2:16">
      <c r="B122" t="str">
        <f t="shared" si="15"/>
        <v/>
      </c>
      <c r="C122" s="479">
        <f>IF(D94="","-",+C121+1)</f>
        <v>2046</v>
      </c>
      <c r="D122" s="480">
        <f>IF(F121+SUM(E$100:E121)=D$93,F121,D$93-SUM(E$100:E121))</f>
        <v>0</v>
      </c>
      <c r="E122" s="377">
        <f t="shared" si="20"/>
        <v>0</v>
      </c>
      <c r="F122" s="481">
        <f t="shared" si="21"/>
        <v>0</v>
      </c>
      <c r="G122" s="481">
        <f t="shared" si="22"/>
        <v>0</v>
      </c>
      <c r="H122" s="459">
        <f t="shared" si="29"/>
        <v>0</v>
      </c>
      <c r="I122" s="521">
        <f t="shared" si="24"/>
        <v>0</v>
      </c>
      <c r="J122" s="484">
        <f t="shared" si="16"/>
        <v>0</v>
      </c>
      <c r="K122" s="484"/>
      <c r="L122" s="112"/>
      <c r="M122" s="484">
        <f t="shared" si="17"/>
        <v>0</v>
      </c>
      <c r="N122" s="112"/>
      <c r="O122" s="484">
        <f t="shared" si="18"/>
        <v>0</v>
      </c>
      <c r="P122" s="484">
        <f t="shared" si="19"/>
        <v>0</v>
      </c>
    </row>
    <row r="123" spans="2:16">
      <c r="B123" t="str">
        <f t="shared" si="15"/>
        <v/>
      </c>
      <c r="C123" s="479">
        <f>IF(D94="","-",+C122+1)</f>
        <v>2047</v>
      </c>
      <c r="D123" s="480">
        <f>IF(F122+SUM(E$100:E122)=D$93,F122,D$93-SUM(E$100:E122))</f>
        <v>0</v>
      </c>
      <c r="E123" s="377">
        <f t="shared" si="20"/>
        <v>0</v>
      </c>
      <c r="F123" s="481">
        <f t="shared" si="21"/>
        <v>0</v>
      </c>
      <c r="G123" s="481">
        <f t="shared" si="22"/>
        <v>0</v>
      </c>
      <c r="H123" s="459">
        <f t="shared" si="29"/>
        <v>0</v>
      </c>
      <c r="I123" s="521">
        <f t="shared" si="24"/>
        <v>0</v>
      </c>
      <c r="J123" s="484">
        <f t="shared" si="16"/>
        <v>0</v>
      </c>
      <c r="K123" s="484"/>
      <c r="L123" s="112"/>
      <c r="M123" s="484">
        <f t="shared" si="17"/>
        <v>0</v>
      </c>
      <c r="N123" s="112"/>
      <c r="O123" s="484">
        <f t="shared" si="18"/>
        <v>0</v>
      </c>
      <c r="P123" s="484">
        <f t="shared" si="19"/>
        <v>0</v>
      </c>
    </row>
    <row r="124" spans="2:16">
      <c r="B124" t="str">
        <f t="shared" si="15"/>
        <v/>
      </c>
      <c r="C124" s="479">
        <f>IF(D94="","-",+C123+1)</f>
        <v>2048</v>
      </c>
      <c r="D124" s="480">
        <f>IF(F123+SUM(E$100:E123)=D$93,F123,D$93-SUM(E$100:E123))</f>
        <v>0</v>
      </c>
      <c r="E124" s="377">
        <f t="shared" si="20"/>
        <v>0</v>
      </c>
      <c r="F124" s="481">
        <f t="shared" si="21"/>
        <v>0</v>
      </c>
      <c r="G124" s="481">
        <f t="shared" si="22"/>
        <v>0</v>
      </c>
      <c r="H124" s="459">
        <f t="shared" si="29"/>
        <v>0</v>
      </c>
      <c r="I124" s="521">
        <f t="shared" si="24"/>
        <v>0</v>
      </c>
      <c r="J124" s="484">
        <f t="shared" si="16"/>
        <v>0</v>
      </c>
      <c r="K124" s="484"/>
      <c r="L124" s="112"/>
      <c r="M124" s="484">
        <f t="shared" si="17"/>
        <v>0</v>
      </c>
      <c r="N124" s="112"/>
      <c r="O124" s="484">
        <f t="shared" si="18"/>
        <v>0</v>
      </c>
      <c r="P124" s="484">
        <f t="shared" si="19"/>
        <v>0</v>
      </c>
    </row>
    <row r="125" spans="2:16">
      <c r="B125" t="str">
        <f t="shared" si="15"/>
        <v/>
      </c>
      <c r="C125" s="479">
        <f>IF(D94="","-",+C124+1)</f>
        <v>2049</v>
      </c>
      <c r="D125" s="480">
        <f>IF(F124+SUM(E$100:E124)=D$93,F124,D$93-SUM(E$100:E124))</f>
        <v>0</v>
      </c>
      <c r="E125" s="377">
        <f t="shared" si="20"/>
        <v>0</v>
      </c>
      <c r="F125" s="481">
        <f t="shared" si="21"/>
        <v>0</v>
      </c>
      <c r="G125" s="481">
        <f t="shared" si="22"/>
        <v>0</v>
      </c>
      <c r="H125" s="459">
        <f t="shared" si="29"/>
        <v>0</v>
      </c>
      <c r="I125" s="521">
        <f t="shared" si="24"/>
        <v>0</v>
      </c>
      <c r="J125" s="484">
        <f t="shared" si="16"/>
        <v>0</v>
      </c>
      <c r="K125" s="484"/>
      <c r="L125" s="112"/>
      <c r="M125" s="484">
        <f t="shared" si="17"/>
        <v>0</v>
      </c>
      <c r="N125" s="112"/>
      <c r="O125" s="484">
        <f t="shared" si="18"/>
        <v>0</v>
      </c>
      <c r="P125" s="484">
        <f t="shared" si="19"/>
        <v>0</v>
      </c>
    </row>
    <row r="126" spans="2:16">
      <c r="B126" t="str">
        <f t="shared" si="15"/>
        <v/>
      </c>
      <c r="C126" s="479">
        <f>IF(D94="","-",+C125+1)</f>
        <v>2050</v>
      </c>
      <c r="D126" s="480">
        <f>IF(F125+SUM(E$100:E125)=D$93,F125,D$93-SUM(E$100:E125))</f>
        <v>0</v>
      </c>
      <c r="E126" s="377">
        <f t="shared" si="20"/>
        <v>0</v>
      </c>
      <c r="F126" s="481">
        <f t="shared" si="21"/>
        <v>0</v>
      </c>
      <c r="G126" s="481">
        <f t="shared" si="22"/>
        <v>0</v>
      </c>
      <c r="H126" s="459">
        <f t="shared" si="29"/>
        <v>0</v>
      </c>
      <c r="I126" s="521">
        <f t="shared" si="24"/>
        <v>0</v>
      </c>
      <c r="J126" s="484">
        <f t="shared" si="16"/>
        <v>0</v>
      </c>
      <c r="K126" s="484"/>
      <c r="L126" s="112"/>
      <c r="M126" s="484">
        <f t="shared" si="17"/>
        <v>0</v>
      </c>
      <c r="N126" s="112"/>
      <c r="O126" s="484">
        <f t="shared" si="18"/>
        <v>0</v>
      </c>
      <c r="P126" s="484">
        <f t="shared" si="19"/>
        <v>0</v>
      </c>
    </row>
    <row r="127" spans="2:16">
      <c r="B127" t="str">
        <f t="shared" si="15"/>
        <v/>
      </c>
      <c r="C127" s="479">
        <f>IF(D94="","-",+C126+1)</f>
        <v>2051</v>
      </c>
      <c r="D127" s="480">
        <f>IF(F126+SUM(E$100:E126)=D$93,F126,D$93-SUM(E$100:E126))</f>
        <v>0</v>
      </c>
      <c r="E127" s="377">
        <f t="shared" si="20"/>
        <v>0</v>
      </c>
      <c r="F127" s="481">
        <f t="shared" si="21"/>
        <v>0</v>
      </c>
      <c r="G127" s="481">
        <f t="shared" si="22"/>
        <v>0</v>
      </c>
      <c r="H127" s="459">
        <f t="shared" si="29"/>
        <v>0</v>
      </c>
      <c r="I127" s="521">
        <f t="shared" si="24"/>
        <v>0</v>
      </c>
      <c r="J127" s="484">
        <f t="shared" si="16"/>
        <v>0</v>
      </c>
      <c r="K127" s="484"/>
      <c r="L127" s="112"/>
      <c r="M127" s="484">
        <f t="shared" si="17"/>
        <v>0</v>
      </c>
      <c r="N127" s="112"/>
      <c r="O127" s="484">
        <f t="shared" si="18"/>
        <v>0</v>
      </c>
      <c r="P127" s="484">
        <f t="shared" si="19"/>
        <v>0</v>
      </c>
    </row>
    <row r="128" spans="2:16">
      <c r="B128" t="str">
        <f t="shared" si="15"/>
        <v/>
      </c>
      <c r="C128" s="479">
        <f>IF(D94="","-",+C127+1)</f>
        <v>2052</v>
      </c>
      <c r="D128" s="480">
        <f>IF(F127+SUM(E$100:E127)=D$93,F127,D$93-SUM(E$100:E127))</f>
        <v>0</v>
      </c>
      <c r="E128" s="377">
        <f t="shared" si="20"/>
        <v>0</v>
      </c>
      <c r="F128" s="481">
        <f t="shared" si="21"/>
        <v>0</v>
      </c>
      <c r="G128" s="481">
        <f t="shared" si="22"/>
        <v>0</v>
      </c>
      <c r="H128" s="459">
        <f t="shared" si="29"/>
        <v>0</v>
      </c>
      <c r="I128" s="521">
        <f t="shared" si="24"/>
        <v>0</v>
      </c>
      <c r="J128" s="484">
        <f t="shared" si="16"/>
        <v>0</v>
      </c>
      <c r="K128" s="484"/>
      <c r="L128" s="112"/>
      <c r="M128" s="484">
        <f t="shared" si="17"/>
        <v>0</v>
      </c>
      <c r="N128" s="112"/>
      <c r="O128" s="484">
        <f t="shared" si="18"/>
        <v>0</v>
      </c>
      <c r="P128" s="484">
        <f t="shared" si="19"/>
        <v>0</v>
      </c>
    </row>
    <row r="129" spans="2:16">
      <c r="B129" t="str">
        <f t="shared" si="15"/>
        <v/>
      </c>
      <c r="C129" s="479">
        <f>IF(D94="","-",+C128+1)</f>
        <v>2053</v>
      </c>
      <c r="D129" s="480">
        <f>IF(F128+SUM(E$100:E128)=D$93,F128,D$93-SUM(E$100:E128))</f>
        <v>0</v>
      </c>
      <c r="E129" s="377">
        <f t="shared" si="20"/>
        <v>0</v>
      </c>
      <c r="F129" s="481">
        <f t="shared" si="21"/>
        <v>0</v>
      </c>
      <c r="G129" s="481">
        <f t="shared" si="22"/>
        <v>0</v>
      </c>
      <c r="H129" s="459">
        <f t="shared" si="29"/>
        <v>0</v>
      </c>
      <c r="I129" s="521">
        <f t="shared" si="24"/>
        <v>0</v>
      </c>
      <c r="J129" s="484">
        <f t="shared" si="16"/>
        <v>0</v>
      </c>
      <c r="K129" s="484"/>
      <c r="L129" s="112"/>
      <c r="M129" s="484">
        <f t="shared" si="17"/>
        <v>0</v>
      </c>
      <c r="N129" s="112"/>
      <c r="O129" s="484">
        <f t="shared" si="18"/>
        <v>0</v>
      </c>
      <c r="P129" s="484">
        <f t="shared" si="19"/>
        <v>0</v>
      </c>
    </row>
    <row r="130" spans="2:16">
      <c r="B130" t="str">
        <f t="shared" si="15"/>
        <v/>
      </c>
      <c r="C130" s="479">
        <f>IF(D94="","-",+C129+1)</f>
        <v>2054</v>
      </c>
      <c r="D130" s="480">
        <f>IF(F129+SUM(E$100:E129)=D$93,F129,D$93-SUM(E$100:E129))</f>
        <v>0</v>
      </c>
      <c r="E130" s="377">
        <f t="shared" si="20"/>
        <v>0</v>
      </c>
      <c r="F130" s="481">
        <f t="shared" si="21"/>
        <v>0</v>
      </c>
      <c r="G130" s="481">
        <f t="shared" si="22"/>
        <v>0</v>
      </c>
      <c r="H130" s="459">
        <f t="shared" si="29"/>
        <v>0</v>
      </c>
      <c r="I130" s="521">
        <f t="shared" si="24"/>
        <v>0</v>
      </c>
      <c r="J130" s="484">
        <f t="shared" si="16"/>
        <v>0</v>
      </c>
      <c r="K130" s="484"/>
      <c r="L130" s="112"/>
      <c r="M130" s="484">
        <f t="shared" si="17"/>
        <v>0</v>
      </c>
      <c r="N130" s="112"/>
      <c r="O130" s="484">
        <f t="shared" si="18"/>
        <v>0</v>
      </c>
      <c r="P130" s="484">
        <f t="shared" si="19"/>
        <v>0</v>
      </c>
    </row>
    <row r="131" spans="2:16">
      <c r="B131" t="str">
        <f t="shared" si="15"/>
        <v/>
      </c>
      <c r="C131" s="479">
        <f>IF(D94="","-",+C130+1)</f>
        <v>2055</v>
      </c>
      <c r="D131" s="480">
        <f>IF(F130+SUM(E$100:E130)=D$93,F130,D$93-SUM(E$100:E130))</f>
        <v>0</v>
      </c>
      <c r="E131" s="377">
        <f t="shared" si="20"/>
        <v>0</v>
      </c>
      <c r="F131" s="481">
        <f t="shared" si="21"/>
        <v>0</v>
      </c>
      <c r="G131" s="481">
        <f t="shared" si="22"/>
        <v>0</v>
      </c>
      <c r="H131" s="459">
        <f t="shared" si="29"/>
        <v>0</v>
      </c>
      <c r="I131" s="521">
        <f t="shared" si="24"/>
        <v>0</v>
      </c>
      <c r="J131" s="484">
        <f t="shared" si="16"/>
        <v>0</v>
      </c>
      <c r="K131" s="484"/>
      <c r="L131" s="112"/>
      <c r="M131" s="484">
        <f t="shared" si="17"/>
        <v>0</v>
      </c>
      <c r="N131" s="112"/>
      <c r="O131" s="484">
        <f t="shared" si="18"/>
        <v>0</v>
      </c>
      <c r="P131" s="484">
        <f t="shared" si="19"/>
        <v>0</v>
      </c>
    </row>
    <row r="132" spans="2:16">
      <c r="B132" t="str">
        <f t="shared" si="15"/>
        <v/>
      </c>
      <c r="C132" s="479">
        <f>IF(D94="","-",+C131+1)</f>
        <v>2056</v>
      </c>
      <c r="D132" s="480">
        <f>IF(F131+SUM(E$100:E131)=D$93,F131,D$93-SUM(E$100:E131))</f>
        <v>0</v>
      </c>
      <c r="E132" s="377">
        <f t="shared" si="20"/>
        <v>0</v>
      </c>
      <c r="F132" s="481">
        <f t="shared" si="21"/>
        <v>0</v>
      </c>
      <c r="G132" s="481">
        <f t="shared" si="22"/>
        <v>0</v>
      </c>
      <c r="H132" s="459">
        <f t="shared" si="29"/>
        <v>0</v>
      </c>
      <c r="I132" s="521">
        <f t="shared" si="24"/>
        <v>0</v>
      </c>
      <c r="J132" s="484">
        <f t="shared" ref="J132:J155" si="30">+I542-H542</f>
        <v>0</v>
      </c>
      <c r="K132" s="484"/>
      <c r="L132" s="112"/>
      <c r="M132" s="484">
        <f t="shared" ref="M132:M155" si="31">IF(L542&lt;&gt;0,+H542-L542,0)</f>
        <v>0</v>
      </c>
      <c r="N132" s="112"/>
      <c r="O132" s="484">
        <f t="shared" ref="O132:O155" si="32">IF(N542&lt;&gt;0,+I542-N542,0)</f>
        <v>0</v>
      </c>
      <c r="P132" s="484">
        <f t="shared" ref="P132:P155" si="33">+O542-M542</f>
        <v>0</v>
      </c>
    </row>
    <row r="133" spans="2:16">
      <c r="B133" t="str">
        <f t="shared" si="15"/>
        <v/>
      </c>
      <c r="C133" s="479">
        <f>IF(D94="","-",+C132+1)</f>
        <v>2057</v>
      </c>
      <c r="D133" s="480">
        <f>IF(F132+SUM(E$100:E132)=D$93,F132,D$93-SUM(E$100:E132))</f>
        <v>0</v>
      </c>
      <c r="E133" s="377">
        <f t="shared" si="20"/>
        <v>0</v>
      </c>
      <c r="F133" s="481">
        <f t="shared" si="21"/>
        <v>0</v>
      </c>
      <c r="G133" s="481">
        <f t="shared" si="22"/>
        <v>0</v>
      </c>
      <c r="H133" s="459">
        <f t="shared" si="29"/>
        <v>0</v>
      </c>
      <c r="I133" s="521">
        <f t="shared" si="24"/>
        <v>0</v>
      </c>
      <c r="J133" s="484">
        <f t="shared" si="30"/>
        <v>0</v>
      </c>
      <c r="K133" s="484"/>
      <c r="L133" s="112"/>
      <c r="M133" s="484">
        <f t="shared" si="31"/>
        <v>0</v>
      </c>
      <c r="N133" s="112"/>
      <c r="O133" s="484">
        <f t="shared" si="32"/>
        <v>0</v>
      </c>
      <c r="P133" s="484">
        <f t="shared" si="33"/>
        <v>0</v>
      </c>
    </row>
    <row r="134" spans="2:16">
      <c r="B134" t="str">
        <f t="shared" si="15"/>
        <v/>
      </c>
      <c r="C134" s="479">
        <f>IF(D94="","-",+C133+1)</f>
        <v>2058</v>
      </c>
      <c r="D134" s="480">
        <f>IF(F133+SUM(E$100:E133)=D$93,F133,D$93-SUM(E$100:E133))</f>
        <v>0</v>
      </c>
      <c r="E134" s="377">
        <f t="shared" si="20"/>
        <v>0</v>
      </c>
      <c r="F134" s="481">
        <f t="shared" si="21"/>
        <v>0</v>
      </c>
      <c r="G134" s="481">
        <f t="shared" si="22"/>
        <v>0</v>
      </c>
      <c r="H134" s="459">
        <f t="shared" si="29"/>
        <v>0</v>
      </c>
      <c r="I134" s="521">
        <f t="shared" si="24"/>
        <v>0</v>
      </c>
      <c r="J134" s="484">
        <f t="shared" si="30"/>
        <v>0</v>
      </c>
      <c r="K134" s="484"/>
      <c r="L134" s="112"/>
      <c r="M134" s="484">
        <f t="shared" si="31"/>
        <v>0</v>
      </c>
      <c r="N134" s="112"/>
      <c r="O134" s="484">
        <f t="shared" si="32"/>
        <v>0</v>
      </c>
      <c r="P134" s="484">
        <f t="shared" si="33"/>
        <v>0</v>
      </c>
    </row>
    <row r="135" spans="2:16">
      <c r="B135" t="str">
        <f t="shared" si="15"/>
        <v/>
      </c>
      <c r="C135" s="479">
        <f>IF(D94="","-",+C134+1)</f>
        <v>2059</v>
      </c>
      <c r="D135" s="480">
        <f>IF(F134+SUM(E$100:E134)=D$93,F134,D$93-SUM(E$100:E134))</f>
        <v>0</v>
      </c>
      <c r="E135" s="377">
        <f t="shared" si="20"/>
        <v>0</v>
      </c>
      <c r="F135" s="481">
        <f t="shared" si="21"/>
        <v>0</v>
      </c>
      <c r="G135" s="481">
        <f t="shared" si="22"/>
        <v>0</v>
      </c>
      <c r="H135" s="459">
        <f t="shared" si="29"/>
        <v>0</v>
      </c>
      <c r="I135" s="521">
        <f t="shared" si="24"/>
        <v>0</v>
      </c>
      <c r="J135" s="484">
        <f t="shared" si="30"/>
        <v>0</v>
      </c>
      <c r="K135" s="484"/>
      <c r="L135" s="112"/>
      <c r="M135" s="484">
        <f t="shared" si="31"/>
        <v>0</v>
      </c>
      <c r="N135" s="112"/>
      <c r="O135" s="484">
        <f t="shared" si="32"/>
        <v>0</v>
      </c>
      <c r="P135" s="484">
        <f t="shared" si="33"/>
        <v>0</v>
      </c>
    </row>
    <row r="136" spans="2:16">
      <c r="B136" t="str">
        <f t="shared" si="15"/>
        <v/>
      </c>
      <c r="C136" s="479">
        <f>IF(D94="","-",+C135+1)</f>
        <v>2060</v>
      </c>
      <c r="D136" s="480">
        <f>IF(F135+SUM(E$100:E135)=D$93,F135,D$93-SUM(E$100:E135))</f>
        <v>0</v>
      </c>
      <c r="E136" s="377">
        <f t="shared" si="20"/>
        <v>0</v>
      </c>
      <c r="F136" s="481">
        <f t="shared" si="21"/>
        <v>0</v>
      </c>
      <c r="G136" s="481">
        <f t="shared" si="22"/>
        <v>0</v>
      </c>
      <c r="H136" s="459">
        <f t="shared" si="29"/>
        <v>0</v>
      </c>
      <c r="I136" s="521">
        <f t="shared" si="24"/>
        <v>0</v>
      </c>
      <c r="J136" s="484">
        <f t="shared" si="30"/>
        <v>0</v>
      </c>
      <c r="K136" s="484"/>
      <c r="L136" s="112"/>
      <c r="M136" s="484">
        <f t="shared" si="31"/>
        <v>0</v>
      </c>
      <c r="N136" s="112"/>
      <c r="O136" s="484">
        <f t="shared" si="32"/>
        <v>0</v>
      </c>
      <c r="P136" s="484">
        <f t="shared" si="33"/>
        <v>0</v>
      </c>
    </row>
    <row r="137" spans="2:16">
      <c r="B137" t="str">
        <f t="shared" si="15"/>
        <v/>
      </c>
      <c r="C137" s="479">
        <f>IF(D94="","-",+C136+1)</f>
        <v>2061</v>
      </c>
      <c r="D137" s="480">
        <f>IF(F136+SUM(E$100:E136)=D$93,F136,D$93-SUM(E$100:E136))</f>
        <v>0</v>
      </c>
      <c r="E137" s="377">
        <f t="shared" si="20"/>
        <v>0</v>
      </c>
      <c r="F137" s="481">
        <f t="shared" si="21"/>
        <v>0</v>
      </c>
      <c r="G137" s="481">
        <f t="shared" si="22"/>
        <v>0</v>
      </c>
      <c r="H137" s="459">
        <f t="shared" si="29"/>
        <v>0</v>
      </c>
      <c r="I137" s="521">
        <f t="shared" si="24"/>
        <v>0</v>
      </c>
      <c r="J137" s="484">
        <f t="shared" si="30"/>
        <v>0</v>
      </c>
      <c r="K137" s="484"/>
      <c r="L137" s="112"/>
      <c r="M137" s="484">
        <f t="shared" si="31"/>
        <v>0</v>
      </c>
      <c r="N137" s="112"/>
      <c r="O137" s="484">
        <f t="shared" si="32"/>
        <v>0</v>
      </c>
      <c r="P137" s="484">
        <f t="shared" si="33"/>
        <v>0</v>
      </c>
    </row>
    <row r="138" spans="2:16">
      <c r="B138" t="str">
        <f t="shared" si="15"/>
        <v/>
      </c>
      <c r="C138" s="479">
        <f>IF(D94="","-",+C137+1)</f>
        <v>2062</v>
      </c>
      <c r="D138" s="480">
        <f>IF(F137+SUM(E$100:E137)=D$93,F137,D$93-SUM(E$100:E137))</f>
        <v>0</v>
      </c>
      <c r="E138" s="377">
        <f t="shared" si="20"/>
        <v>0</v>
      </c>
      <c r="F138" s="481">
        <f t="shared" si="21"/>
        <v>0</v>
      </c>
      <c r="G138" s="481">
        <f t="shared" si="22"/>
        <v>0</v>
      </c>
      <c r="H138" s="459">
        <f t="shared" si="29"/>
        <v>0</v>
      </c>
      <c r="I138" s="521">
        <f t="shared" si="24"/>
        <v>0</v>
      </c>
      <c r="J138" s="484">
        <f t="shared" si="30"/>
        <v>0</v>
      </c>
      <c r="K138" s="484"/>
      <c r="L138" s="112"/>
      <c r="M138" s="484">
        <f t="shared" si="31"/>
        <v>0</v>
      </c>
      <c r="N138" s="112"/>
      <c r="O138" s="484">
        <f t="shared" si="32"/>
        <v>0</v>
      </c>
      <c r="P138" s="484">
        <f t="shared" si="33"/>
        <v>0</v>
      </c>
    </row>
    <row r="139" spans="2:16">
      <c r="B139" t="str">
        <f t="shared" si="15"/>
        <v/>
      </c>
      <c r="C139" s="479">
        <f>IF(D94="","-",+C138+1)</f>
        <v>2063</v>
      </c>
      <c r="D139" s="480">
        <f>IF(F138+SUM(E$100:E138)=D$93,F138,D$93-SUM(E$100:E138))</f>
        <v>0</v>
      </c>
      <c r="E139" s="377">
        <f t="shared" si="20"/>
        <v>0</v>
      </c>
      <c r="F139" s="481">
        <f t="shared" si="21"/>
        <v>0</v>
      </c>
      <c r="G139" s="481">
        <f t="shared" si="22"/>
        <v>0</v>
      </c>
      <c r="H139" s="459">
        <f t="shared" si="29"/>
        <v>0</v>
      </c>
      <c r="I139" s="521">
        <f t="shared" si="24"/>
        <v>0</v>
      </c>
      <c r="J139" s="484">
        <f t="shared" si="30"/>
        <v>0</v>
      </c>
      <c r="K139" s="484"/>
      <c r="L139" s="112"/>
      <c r="M139" s="484">
        <f t="shared" si="31"/>
        <v>0</v>
      </c>
      <c r="N139" s="112"/>
      <c r="O139" s="484">
        <f t="shared" si="32"/>
        <v>0</v>
      </c>
      <c r="P139" s="484">
        <f t="shared" si="33"/>
        <v>0</v>
      </c>
    </row>
    <row r="140" spans="2:16">
      <c r="B140" t="str">
        <f t="shared" si="15"/>
        <v/>
      </c>
      <c r="C140" s="479">
        <f>IF(D94="","-",+C139+1)</f>
        <v>2064</v>
      </c>
      <c r="D140" s="480">
        <f>IF(F139+SUM(E$100:E139)=D$93,F139,D$93-SUM(E$100:E139))</f>
        <v>0</v>
      </c>
      <c r="E140" s="377">
        <f t="shared" si="20"/>
        <v>0</v>
      </c>
      <c r="F140" s="481">
        <f t="shared" si="21"/>
        <v>0</v>
      </c>
      <c r="G140" s="481">
        <f t="shared" si="22"/>
        <v>0</v>
      </c>
      <c r="H140" s="459">
        <f t="shared" si="29"/>
        <v>0</v>
      </c>
      <c r="I140" s="521">
        <f t="shared" si="24"/>
        <v>0</v>
      </c>
      <c r="J140" s="484">
        <f t="shared" si="30"/>
        <v>0</v>
      </c>
      <c r="K140" s="484"/>
      <c r="L140" s="112"/>
      <c r="M140" s="484">
        <f t="shared" si="31"/>
        <v>0</v>
      </c>
      <c r="N140" s="112"/>
      <c r="O140" s="484">
        <f t="shared" si="32"/>
        <v>0</v>
      </c>
      <c r="P140" s="484">
        <f t="shared" si="33"/>
        <v>0</v>
      </c>
    </row>
    <row r="141" spans="2:16">
      <c r="B141" t="str">
        <f t="shared" si="15"/>
        <v/>
      </c>
      <c r="C141" s="479">
        <f>IF(D94="","-",+C140+1)</f>
        <v>2065</v>
      </c>
      <c r="D141" s="480">
        <f>IF(F140+SUM(E$100:E140)=D$93,F140,D$93-SUM(E$100:E140))</f>
        <v>0</v>
      </c>
      <c r="E141" s="377">
        <f t="shared" si="20"/>
        <v>0</v>
      </c>
      <c r="F141" s="481">
        <f t="shared" si="21"/>
        <v>0</v>
      </c>
      <c r="G141" s="481">
        <f t="shared" si="22"/>
        <v>0</v>
      </c>
      <c r="H141" s="459">
        <f t="shared" si="29"/>
        <v>0</v>
      </c>
      <c r="I141" s="521">
        <f t="shared" si="24"/>
        <v>0</v>
      </c>
      <c r="J141" s="484">
        <f t="shared" si="30"/>
        <v>0</v>
      </c>
      <c r="K141" s="484"/>
      <c r="L141" s="112"/>
      <c r="M141" s="484">
        <f t="shared" si="31"/>
        <v>0</v>
      </c>
      <c r="N141" s="112"/>
      <c r="O141" s="484">
        <f t="shared" si="32"/>
        <v>0</v>
      </c>
      <c r="P141" s="484">
        <f t="shared" si="33"/>
        <v>0</v>
      </c>
    </row>
    <row r="142" spans="2:16">
      <c r="B142" t="str">
        <f t="shared" si="15"/>
        <v/>
      </c>
      <c r="C142" s="479">
        <f>IF(D94="","-",+C141+1)</f>
        <v>2066</v>
      </c>
      <c r="D142" s="480">
        <f>IF(F141+SUM(E$100:E141)=D$93,F141,D$93-SUM(E$100:E141))</f>
        <v>0</v>
      </c>
      <c r="E142" s="377">
        <f t="shared" si="20"/>
        <v>0</v>
      </c>
      <c r="F142" s="481">
        <f t="shared" si="21"/>
        <v>0</v>
      </c>
      <c r="G142" s="481">
        <f t="shared" si="22"/>
        <v>0</v>
      </c>
      <c r="H142" s="459">
        <f t="shared" si="29"/>
        <v>0</v>
      </c>
      <c r="I142" s="521">
        <f t="shared" si="24"/>
        <v>0</v>
      </c>
      <c r="J142" s="484">
        <f t="shared" si="30"/>
        <v>0</v>
      </c>
      <c r="K142" s="484"/>
      <c r="L142" s="112"/>
      <c r="M142" s="484">
        <f t="shared" si="31"/>
        <v>0</v>
      </c>
      <c r="N142" s="112"/>
      <c r="O142" s="484">
        <f t="shared" si="32"/>
        <v>0</v>
      </c>
      <c r="P142" s="484">
        <f t="shared" si="33"/>
        <v>0</v>
      </c>
    </row>
    <row r="143" spans="2:16">
      <c r="B143" t="str">
        <f t="shared" si="15"/>
        <v/>
      </c>
      <c r="C143" s="479">
        <f>IF(D94="","-",+C142+1)</f>
        <v>2067</v>
      </c>
      <c r="D143" s="480">
        <f>IF(F142+SUM(E$100:E142)=D$93,F142,D$93-SUM(E$100:E142))</f>
        <v>0</v>
      </c>
      <c r="E143" s="377">
        <f t="shared" si="20"/>
        <v>0</v>
      </c>
      <c r="F143" s="481">
        <f t="shared" si="21"/>
        <v>0</v>
      </c>
      <c r="G143" s="481">
        <f t="shared" si="22"/>
        <v>0</v>
      </c>
      <c r="H143" s="459">
        <f t="shared" si="29"/>
        <v>0</v>
      </c>
      <c r="I143" s="521">
        <f t="shared" si="24"/>
        <v>0</v>
      </c>
      <c r="J143" s="484">
        <f t="shared" si="30"/>
        <v>0</v>
      </c>
      <c r="K143" s="484"/>
      <c r="L143" s="112"/>
      <c r="M143" s="484">
        <f t="shared" si="31"/>
        <v>0</v>
      </c>
      <c r="N143" s="112"/>
      <c r="O143" s="484">
        <f t="shared" si="32"/>
        <v>0</v>
      </c>
      <c r="P143" s="484">
        <f t="shared" si="33"/>
        <v>0</v>
      </c>
    </row>
    <row r="144" spans="2:16">
      <c r="B144" t="str">
        <f t="shared" si="15"/>
        <v/>
      </c>
      <c r="C144" s="479">
        <f>IF(D94="","-",+C143+1)</f>
        <v>2068</v>
      </c>
      <c r="D144" s="480">
        <f>IF(F143+SUM(E$100:E143)=D$93,F143,D$93-SUM(E$100:E143))</f>
        <v>0</v>
      </c>
      <c r="E144" s="377">
        <f t="shared" si="20"/>
        <v>0</v>
      </c>
      <c r="F144" s="481">
        <f t="shared" si="21"/>
        <v>0</v>
      </c>
      <c r="G144" s="481">
        <f t="shared" si="22"/>
        <v>0</v>
      </c>
      <c r="H144" s="459">
        <f t="shared" si="29"/>
        <v>0</v>
      </c>
      <c r="I144" s="521">
        <f t="shared" si="24"/>
        <v>0</v>
      </c>
      <c r="J144" s="484">
        <f t="shared" si="30"/>
        <v>0</v>
      </c>
      <c r="K144" s="484"/>
      <c r="L144" s="112"/>
      <c r="M144" s="484">
        <f t="shared" si="31"/>
        <v>0</v>
      </c>
      <c r="N144" s="112"/>
      <c r="O144" s="484">
        <f t="shared" si="32"/>
        <v>0</v>
      </c>
      <c r="P144" s="484">
        <f t="shared" si="33"/>
        <v>0</v>
      </c>
    </row>
    <row r="145" spans="2:16">
      <c r="B145" t="str">
        <f t="shared" si="15"/>
        <v/>
      </c>
      <c r="C145" s="479">
        <f>IF(D94="","-",+C144+1)</f>
        <v>2069</v>
      </c>
      <c r="D145" s="480">
        <f>IF(F144+SUM(E$100:E144)=D$93,F144,D$93-SUM(E$100:E144))</f>
        <v>0</v>
      </c>
      <c r="E145" s="377">
        <f t="shared" si="20"/>
        <v>0</v>
      </c>
      <c r="F145" s="481">
        <f t="shared" si="21"/>
        <v>0</v>
      </c>
      <c r="G145" s="481">
        <f t="shared" si="22"/>
        <v>0</v>
      </c>
      <c r="H145" s="459">
        <f t="shared" si="29"/>
        <v>0</v>
      </c>
      <c r="I145" s="521">
        <f t="shared" si="24"/>
        <v>0</v>
      </c>
      <c r="J145" s="484">
        <f t="shared" si="30"/>
        <v>0</v>
      </c>
      <c r="K145" s="484"/>
      <c r="L145" s="112"/>
      <c r="M145" s="484">
        <f t="shared" si="31"/>
        <v>0</v>
      </c>
      <c r="N145" s="112"/>
      <c r="O145" s="484">
        <f t="shared" si="32"/>
        <v>0</v>
      </c>
      <c r="P145" s="484">
        <f t="shared" si="33"/>
        <v>0</v>
      </c>
    </row>
    <row r="146" spans="2:16">
      <c r="B146" t="str">
        <f t="shared" si="15"/>
        <v/>
      </c>
      <c r="C146" s="479">
        <f>IF(D94="","-",+C145+1)</f>
        <v>2070</v>
      </c>
      <c r="D146" s="480">
        <f>IF(F145+SUM(E$100:E145)=D$93,F145,D$93-SUM(E$100:E145))</f>
        <v>0</v>
      </c>
      <c r="E146" s="377">
        <f t="shared" si="20"/>
        <v>0</v>
      </c>
      <c r="F146" s="481">
        <f t="shared" si="21"/>
        <v>0</v>
      </c>
      <c r="G146" s="481">
        <f t="shared" si="22"/>
        <v>0</v>
      </c>
      <c r="H146" s="459">
        <f t="shared" si="29"/>
        <v>0</v>
      </c>
      <c r="I146" s="521">
        <f t="shared" si="24"/>
        <v>0</v>
      </c>
      <c r="J146" s="484">
        <f t="shared" si="30"/>
        <v>0</v>
      </c>
      <c r="K146" s="484"/>
      <c r="L146" s="112"/>
      <c r="M146" s="484">
        <f t="shared" si="31"/>
        <v>0</v>
      </c>
      <c r="N146" s="112"/>
      <c r="O146" s="484">
        <f t="shared" si="32"/>
        <v>0</v>
      </c>
      <c r="P146" s="484">
        <f t="shared" si="33"/>
        <v>0</v>
      </c>
    </row>
    <row r="147" spans="2:16">
      <c r="B147" t="str">
        <f t="shared" si="15"/>
        <v/>
      </c>
      <c r="C147" s="479">
        <f>IF(D94="","-",+C146+1)</f>
        <v>2071</v>
      </c>
      <c r="D147" s="480">
        <f>IF(F146+SUM(E$100:E146)=D$93,F146,D$93-SUM(E$100:E146))</f>
        <v>0</v>
      </c>
      <c r="E147" s="377">
        <f t="shared" si="20"/>
        <v>0</v>
      </c>
      <c r="F147" s="481">
        <f t="shared" si="21"/>
        <v>0</v>
      </c>
      <c r="G147" s="481">
        <f t="shared" si="22"/>
        <v>0</v>
      </c>
      <c r="H147" s="459">
        <f t="shared" si="29"/>
        <v>0</v>
      </c>
      <c r="I147" s="521">
        <f t="shared" si="24"/>
        <v>0</v>
      </c>
      <c r="J147" s="484">
        <f t="shared" si="30"/>
        <v>0</v>
      </c>
      <c r="K147" s="484"/>
      <c r="L147" s="112"/>
      <c r="M147" s="484">
        <f t="shared" si="31"/>
        <v>0</v>
      </c>
      <c r="N147" s="112"/>
      <c r="O147" s="484">
        <f t="shared" si="32"/>
        <v>0</v>
      </c>
      <c r="P147" s="484">
        <f t="shared" si="33"/>
        <v>0</v>
      </c>
    </row>
    <row r="148" spans="2:16">
      <c r="B148" t="str">
        <f t="shared" si="15"/>
        <v/>
      </c>
      <c r="C148" s="479">
        <f>IF(D94="","-",+C147+1)</f>
        <v>2072</v>
      </c>
      <c r="D148" s="480">
        <f>IF(F147+SUM(E$100:E147)=D$93,F147,D$93-SUM(E$100:E147))</f>
        <v>0</v>
      </c>
      <c r="E148" s="377">
        <f t="shared" si="20"/>
        <v>0</v>
      </c>
      <c r="F148" s="481">
        <f t="shared" si="21"/>
        <v>0</v>
      </c>
      <c r="G148" s="481">
        <f t="shared" si="22"/>
        <v>0</v>
      </c>
      <c r="H148" s="459">
        <f t="shared" si="29"/>
        <v>0</v>
      </c>
      <c r="I148" s="521">
        <f t="shared" si="24"/>
        <v>0</v>
      </c>
      <c r="J148" s="484">
        <f t="shared" si="30"/>
        <v>0</v>
      </c>
      <c r="K148" s="484"/>
      <c r="L148" s="112"/>
      <c r="M148" s="484">
        <f t="shared" si="31"/>
        <v>0</v>
      </c>
      <c r="N148" s="112"/>
      <c r="O148" s="484">
        <f t="shared" si="32"/>
        <v>0</v>
      </c>
      <c r="P148" s="484">
        <f t="shared" si="33"/>
        <v>0</v>
      </c>
    </row>
    <row r="149" spans="2:16">
      <c r="B149" t="str">
        <f t="shared" si="15"/>
        <v/>
      </c>
      <c r="C149" s="479">
        <f>IF(D94="","-",+C148+1)</f>
        <v>2073</v>
      </c>
      <c r="D149" s="480">
        <f>IF(F148+SUM(E$100:E148)=D$93,F148,D$93-SUM(E$100:E148))</f>
        <v>0</v>
      </c>
      <c r="E149" s="377">
        <f t="shared" si="20"/>
        <v>0</v>
      </c>
      <c r="F149" s="481">
        <f t="shared" si="21"/>
        <v>0</v>
      </c>
      <c r="G149" s="481">
        <f t="shared" si="22"/>
        <v>0</v>
      </c>
      <c r="H149" s="459">
        <f t="shared" si="29"/>
        <v>0</v>
      </c>
      <c r="I149" s="521">
        <f t="shared" si="24"/>
        <v>0</v>
      </c>
      <c r="J149" s="484">
        <f t="shared" si="30"/>
        <v>0</v>
      </c>
      <c r="K149" s="484"/>
      <c r="L149" s="112"/>
      <c r="M149" s="484">
        <f t="shared" si="31"/>
        <v>0</v>
      </c>
      <c r="N149" s="112"/>
      <c r="O149" s="484">
        <f t="shared" si="32"/>
        <v>0</v>
      </c>
      <c r="P149" s="484">
        <f t="shared" si="33"/>
        <v>0</v>
      </c>
    </row>
    <row r="150" spans="2:16">
      <c r="B150" t="str">
        <f t="shared" si="15"/>
        <v/>
      </c>
      <c r="C150" s="479">
        <f>IF(D94="","-",+C149+1)</f>
        <v>2074</v>
      </c>
      <c r="D150" s="480">
        <f>IF(F149+SUM(E$100:E149)=D$93,F149,D$93-SUM(E$100:E149))</f>
        <v>0</v>
      </c>
      <c r="E150" s="377">
        <f t="shared" si="20"/>
        <v>0</v>
      </c>
      <c r="F150" s="481">
        <f t="shared" si="21"/>
        <v>0</v>
      </c>
      <c r="G150" s="481">
        <f t="shared" si="22"/>
        <v>0</v>
      </c>
      <c r="H150" s="459">
        <f t="shared" si="29"/>
        <v>0</v>
      </c>
      <c r="I150" s="521">
        <f t="shared" si="24"/>
        <v>0</v>
      </c>
      <c r="J150" s="484">
        <f t="shared" si="30"/>
        <v>0</v>
      </c>
      <c r="K150" s="484"/>
      <c r="L150" s="112"/>
      <c r="M150" s="484">
        <f t="shared" si="31"/>
        <v>0</v>
      </c>
      <c r="N150" s="112"/>
      <c r="O150" s="484">
        <f t="shared" si="32"/>
        <v>0</v>
      </c>
      <c r="P150" s="484">
        <f t="shared" si="33"/>
        <v>0</v>
      </c>
    </row>
    <row r="151" spans="2:16">
      <c r="B151" t="str">
        <f t="shared" si="15"/>
        <v/>
      </c>
      <c r="C151" s="479">
        <f>IF(D94="","-",+C150+1)</f>
        <v>2075</v>
      </c>
      <c r="D151" s="480">
        <f>IF(F150+SUM(E$100:E150)=D$93,F150,D$93-SUM(E$100:E150))</f>
        <v>0</v>
      </c>
      <c r="E151" s="377">
        <f t="shared" si="20"/>
        <v>0</v>
      </c>
      <c r="F151" s="481">
        <f t="shared" si="21"/>
        <v>0</v>
      </c>
      <c r="G151" s="481">
        <f t="shared" si="22"/>
        <v>0</v>
      </c>
      <c r="H151" s="459">
        <f t="shared" si="29"/>
        <v>0</v>
      </c>
      <c r="I151" s="521">
        <f t="shared" si="24"/>
        <v>0</v>
      </c>
      <c r="J151" s="484">
        <f t="shared" si="30"/>
        <v>0</v>
      </c>
      <c r="K151" s="484"/>
      <c r="L151" s="112"/>
      <c r="M151" s="484">
        <f t="shared" si="31"/>
        <v>0</v>
      </c>
      <c r="N151" s="112"/>
      <c r="O151" s="484">
        <f t="shared" si="32"/>
        <v>0</v>
      </c>
      <c r="P151" s="484">
        <f t="shared" si="33"/>
        <v>0</v>
      </c>
    </row>
    <row r="152" spans="2:16">
      <c r="B152" t="str">
        <f t="shared" si="15"/>
        <v/>
      </c>
      <c r="C152" s="479">
        <f>IF(D94="","-",+C151+1)</f>
        <v>2076</v>
      </c>
      <c r="D152" s="480">
        <f>IF(F151+SUM(E$100:E151)=D$93,F151,D$93-SUM(E$100:E151))</f>
        <v>0</v>
      </c>
      <c r="E152" s="377">
        <f t="shared" si="20"/>
        <v>0</v>
      </c>
      <c r="F152" s="481">
        <f t="shared" si="21"/>
        <v>0</v>
      </c>
      <c r="G152" s="481">
        <f t="shared" si="22"/>
        <v>0</v>
      </c>
      <c r="H152" s="459">
        <f t="shared" si="29"/>
        <v>0</v>
      </c>
      <c r="I152" s="521">
        <f t="shared" si="24"/>
        <v>0</v>
      </c>
      <c r="J152" s="484">
        <f t="shared" si="30"/>
        <v>0</v>
      </c>
      <c r="K152" s="484"/>
      <c r="L152" s="112"/>
      <c r="M152" s="484">
        <f t="shared" si="31"/>
        <v>0</v>
      </c>
      <c r="N152" s="112"/>
      <c r="O152" s="484">
        <f t="shared" si="32"/>
        <v>0</v>
      </c>
      <c r="P152" s="484">
        <f t="shared" si="33"/>
        <v>0</v>
      </c>
    </row>
    <row r="153" spans="2:16">
      <c r="B153" t="str">
        <f t="shared" si="15"/>
        <v/>
      </c>
      <c r="C153" s="479">
        <f>IF(D94="","-",+C152+1)</f>
        <v>2077</v>
      </c>
      <c r="D153" s="480">
        <f>IF(F152+SUM(E$100:E152)=D$93,F152,D$93-SUM(E$100:E152))</f>
        <v>0</v>
      </c>
      <c r="E153" s="377">
        <f t="shared" si="20"/>
        <v>0</v>
      </c>
      <c r="F153" s="481">
        <f t="shared" si="21"/>
        <v>0</v>
      </c>
      <c r="G153" s="481">
        <f t="shared" si="22"/>
        <v>0</v>
      </c>
      <c r="H153" s="459">
        <f t="shared" si="29"/>
        <v>0</v>
      </c>
      <c r="I153" s="521">
        <f t="shared" si="24"/>
        <v>0</v>
      </c>
      <c r="J153" s="484">
        <f t="shared" si="30"/>
        <v>0</v>
      </c>
      <c r="K153" s="484"/>
      <c r="L153" s="112"/>
      <c r="M153" s="484">
        <f t="shared" si="31"/>
        <v>0</v>
      </c>
      <c r="N153" s="112"/>
      <c r="O153" s="484">
        <f t="shared" si="32"/>
        <v>0</v>
      </c>
      <c r="P153" s="484">
        <f t="shared" si="33"/>
        <v>0</v>
      </c>
    </row>
    <row r="154" spans="2:16">
      <c r="B154" t="str">
        <f t="shared" si="15"/>
        <v/>
      </c>
      <c r="C154" s="479">
        <f>IF(D94="","-",+C153+1)</f>
        <v>2078</v>
      </c>
      <c r="D154" s="480">
        <f>IF(F153+SUM(E$100:E153)=D$93,F153,D$93-SUM(E$100:E153))</f>
        <v>0</v>
      </c>
      <c r="E154" s="377">
        <f t="shared" si="20"/>
        <v>0</v>
      </c>
      <c r="F154" s="481">
        <f t="shared" si="21"/>
        <v>0</v>
      </c>
      <c r="G154" s="481">
        <f t="shared" si="22"/>
        <v>0</v>
      </c>
      <c r="H154" s="459">
        <f t="shared" si="29"/>
        <v>0</v>
      </c>
      <c r="I154" s="521">
        <f t="shared" si="24"/>
        <v>0</v>
      </c>
      <c r="J154" s="484">
        <f t="shared" si="30"/>
        <v>0</v>
      </c>
      <c r="K154" s="484"/>
      <c r="L154" s="112"/>
      <c r="M154" s="484">
        <f t="shared" si="31"/>
        <v>0</v>
      </c>
      <c r="N154" s="112"/>
      <c r="O154" s="484">
        <f t="shared" si="32"/>
        <v>0</v>
      </c>
      <c r="P154" s="484">
        <f t="shared" si="33"/>
        <v>0</v>
      </c>
    </row>
    <row r="155" spans="2:16" ht="13.5" thickBot="1">
      <c r="B155" t="str">
        <f t="shared" si="15"/>
        <v/>
      </c>
      <c r="C155" s="487">
        <f>IF(D94="","-",+C154+1)</f>
        <v>2079</v>
      </c>
      <c r="D155" s="509">
        <f>IF(F154+SUM(E$100:E154)=D$93,F154,D$93-SUM(E$100:E154))</f>
        <v>0</v>
      </c>
      <c r="E155" s="389">
        <f t="shared" si="20"/>
        <v>0</v>
      </c>
      <c r="F155" s="488">
        <f t="shared" si="21"/>
        <v>0</v>
      </c>
      <c r="G155" s="488">
        <f t="shared" si="22"/>
        <v>0</v>
      </c>
      <c r="H155" s="459">
        <f t="shared" si="29"/>
        <v>0</v>
      </c>
      <c r="I155" s="523">
        <f t="shared" si="24"/>
        <v>0</v>
      </c>
      <c r="J155" s="491">
        <f t="shared" si="30"/>
        <v>0</v>
      </c>
      <c r="K155" s="484"/>
      <c r="L155" s="113"/>
      <c r="M155" s="491">
        <f t="shared" si="31"/>
        <v>0</v>
      </c>
      <c r="N155" s="113"/>
      <c r="O155" s="491">
        <f t="shared" si="32"/>
        <v>0</v>
      </c>
      <c r="P155" s="491">
        <f t="shared" si="33"/>
        <v>0</v>
      </c>
    </row>
    <row r="156" spans="2:16">
      <c r="C156" s="480" t="s">
        <v>75</v>
      </c>
      <c r="D156" s="468"/>
      <c r="E156" s="468">
        <f>SUM(E100:E155)</f>
        <v>6873406.2199999997</v>
      </c>
      <c r="F156" s="468"/>
      <c r="G156" s="468"/>
      <c r="H156" s="468">
        <f>SUM(H100:H155)</f>
        <v>15280732.720230173</v>
      </c>
      <c r="I156" s="468">
        <f>SUM(I100:I155)</f>
        <v>15280732.720230173</v>
      </c>
      <c r="J156" s="468">
        <f>SUM(J100:J155)</f>
        <v>0</v>
      </c>
      <c r="K156" s="468"/>
      <c r="L156" s="468"/>
      <c r="M156" s="468"/>
      <c r="N156" s="468"/>
      <c r="O156" s="468"/>
      <c r="P156" s="465"/>
    </row>
    <row r="157" spans="2:16">
      <c r="C157" t="s">
        <v>90</v>
      </c>
      <c r="D157" s="466"/>
      <c r="E157" s="465"/>
      <c r="F157" s="465"/>
      <c r="G157" s="465"/>
      <c r="H157" s="465"/>
      <c r="I157" s="467"/>
      <c r="J157" s="467"/>
      <c r="K157" s="468"/>
      <c r="L157" s="467"/>
      <c r="M157" s="467"/>
      <c r="N157" s="467"/>
      <c r="O157" s="467"/>
      <c r="P157" s="465"/>
    </row>
    <row r="158" spans="2:16">
      <c r="C158" s="83"/>
      <c r="D158" s="466"/>
      <c r="E158" s="465"/>
      <c r="F158" s="465"/>
      <c r="G158" s="465"/>
      <c r="H158" s="465"/>
      <c r="I158" s="467"/>
      <c r="J158" s="467"/>
      <c r="K158" s="468"/>
      <c r="L158" s="467"/>
      <c r="M158" s="467"/>
      <c r="N158" s="467"/>
      <c r="O158" s="467"/>
      <c r="P158" s="465"/>
    </row>
    <row r="159" spans="2:16">
      <c r="C159" s="97" t="s">
        <v>130</v>
      </c>
      <c r="D159" s="466"/>
      <c r="E159" s="465"/>
      <c r="F159" s="465"/>
      <c r="G159" s="465"/>
      <c r="H159" s="465"/>
      <c r="I159" s="467"/>
      <c r="J159" s="467"/>
      <c r="K159" s="468"/>
      <c r="L159" s="467"/>
      <c r="M159" s="467"/>
      <c r="N159" s="467"/>
      <c r="O159" s="467"/>
      <c r="P159" s="465"/>
    </row>
    <row r="160" spans="2:16">
      <c r="C160" s="25" t="s">
        <v>76</v>
      </c>
      <c r="D160" s="480"/>
      <c r="E160" s="480"/>
      <c r="F160" s="480"/>
      <c r="G160" s="480"/>
      <c r="H160" s="468"/>
      <c r="I160" s="468"/>
      <c r="J160" s="492"/>
      <c r="K160" s="492"/>
      <c r="L160" s="492"/>
      <c r="M160" s="492"/>
      <c r="N160" s="492"/>
      <c r="O160" s="492"/>
      <c r="P160" s="465"/>
    </row>
    <row r="161" spans="3:16">
      <c r="C161" s="84" t="s">
        <v>77</v>
      </c>
      <c r="D161" s="480"/>
      <c r="E161" s="480"/>
      <c r="F161" s="480"/>
      <c r="G161" s="480"/>
      <c r="H161" s="468"/>
      <c r="I161" s="468"/>
      <c r="J161" s="492"/>
      <c r="K161" s="492"/>
      <c r="L161" s="492"/>
      <c r="M161" s="492"/>
      <c r="N161" s="492"/>
      <c r="O161" s="492"/>
      <c r="P161" s="465"/>
    </row>
    <row r="162" spans="3:16">
      <c r="C162" s="84"/>
      <c r="D162" s="480"/>
      <c r="E162" s="480"/>
      <c r="F162" s="480"/>
      <c r="G162" s="480"/>
      <c r="H162" s="468"/>
      <c r="I162" s="468"/>
      <c r="J162" s="492"/>
      <c r="K162" s="492"/>
      <c r="L162" s="492"/>
      <c r="M162" s="492"/>
      <c r="N162" s="492"/>
      <c r="O162" s="492"/>
      <c r="P162" s="465"/>
    </row>
    <row r="163" spans="3:16" ht="18">
      <c r="C163" s="84"/>
      <c r="D163" s="480"/>
      <c r="E163" s="480"/>
      <c r="F163" s="480"/>
      <c r="G163" s="480"/>
      <c r="H163" s="468"/>
      <c r="I163" s="468"/>
      <c r="J163" s="492"/>
      <c r="K163" s="492"/>
      <c r="L163" s="492"/>
      <c r="M163" s="492"/>
      <c r="N163" s="492"/>
      <c r="P163" s="95" t="s">
        <v>129</v>
      </c>
    </row>
  </sheetData>
  <conditionalFormatting sqref="C17:C73">
    <cfRule type="cellIs" dxfId="3" priority="1" stopIfTrue="1" operator="equal">
      <formula>$I$10</formula>
    </cfRule>
  </conditionalFormatting>
  <conditionalFormatting sqref="C100:C155">
    <cfRule type="cellIs" dxfId="2" priority="2" stopIfTrue="1" operator="equal">
      <formula>$J$93</formula>
    </cfRule>
  </conditionalFormatting>
  <pageMargins left="0.5" right="0.25" top="1" bottom="0.35" header="0.25" footer="0.5"/>
  <pageSetup scale="4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0">
    <tabColor rgb="FFFFC000"/>
  </sheetPr>
  <dimension ref="A1:S137"/>
  <sheetViews>
    <sheetView topLeftCell="E103" zoomScale="80" zoomScaleNormal="80" zoomScaleSheetLayoutView="100" workbookViewId="0">
      <selection activeCell="R112" sqref="R112"/>
    </sheetView>
  </sheetViews>
  <sheetFormatPr defaultColWidth="8.7109375" defaultRowHeight="12.75" customHeight="1"/>
  <cols>
    <col min="1" max="1" width="4.7109375" customWidth="1"/>
    <col min="2" max="2" width="6.7109375" customWidth="1"/>
    <col min="3" max="3" width="20.7109375" customWidth="1"/>
    <col min="4" max="4" width="40.7109375" customWidth="1"/>
    <col min="5" max="9" width="17.7109375" customWidth="1"/>
    <col min="10" max="10" width="17.7109375" bestFit="1" customWidth="1"/>
    <col min="11" max="11" width="2.140625" customWidth="1"/>
    <col min="12" max="14" width="17.7109375" customWidth="1"/>
    <col min="15" max="15" width="20.85546875" customWidth="1"/>
    <col min="16" max="16" width="19.5703125" customWidth="1"/>
    <col min="17" max="17" width="2.140625" customWidth="1"/>
    <col min="18" max="18" width="16.42578125" customWidth="1"/>
    <col min="19" max="19" width="52.42578125" customWidth="1"/>
  </cols>
  <sheetData>
    <row r="1" spans="1:19" ht="18">
      <c r="A1" s="549" t="str">
        <f>'OKT.WS.F.BPU.ATRR.Projected'!A1</f>
        <v xml:space="preserve">AEP West SPP Member Companies </v>
      </c>
      <c r="B1" s="550"/>
      <c r="C1" s="550"/>
      <c r="D1" s="550"/>
      <c r="E1" s="550"/>
      <c r="F1" s="550"/>
      <c r="G1" s="550"/>
      <c r="H1" s="550"/>
      <c r="I1" s="550"/>
      <c r="J1" s="550"/>
      <c r="K1" s="550"/>
    </row>
    <row r="2" spans="1:19" ht="18">
      <c r="A2" s="549" t="str">
        <f>'OKT.WS.F.BPU.ATRR.Projected'!A2</f>
        <v>2025 Cost of Service Formula Rate Projected on 2025 FF1 Balances</v>
      </c>
      <c r="B2" s="550"/>
      <c r="C2" s="550"/>
      <c r="D2" s="550"/>
      <c r="E2" s="550"/>
      <c r="F2" s="550"/>
      <c r="G2" s="550"/>
      <c r="H2" s="550"/>
      <c r="I2" s="550"/>
      <c r="J2" s="550"/>
      <c r="K2" s="550"/>
      <c r="Q2" s="90" t="s">
        <v>110</v>
      </c>
    </row>
    <row r="3" spans="1:19" ht="18">
      <c r="A3" s="551" t="s">
        <v>125</v>
      </c>
      <c r="B3" s="552"/>
      <c r="C3" s="552"/>
      <c r="D3" s="552"/>
      <c r="E3" s="552"/>
      <c r="F3" s="552"/>
      <c r="G3" s="552"/>
      <c r="H3" s="552"/>
      <c r="I3" s="552"/>
      <c r="J3" s="552"/>
      <c r="K3" s="552"/>
    </row>
    <row r="4" spans="1:19" ht="18">
      <c r="A4" s="552" t="str">
        <f>"Based on a Carrying Charge Derived from ""Trued-Up"" "&amp;M16&amp;" Data"</f>
        <v>Based on a Carrying Charge Derived from "Trued-Up" 2025 Data</v>
      </c>
      <c r="B4" s="552"/>
      <c r="C4" s="552"/>
      <c r="D4" s="552"/>
      <c r="E4" s="552"/>
      <c r="F4" s="552"/>
      <c r="G4" s="552"/>
      <c r="H4" s="552"/>
      <c r="I4" s="552"/>
      <c r="J4" s="552"/>
      <c r="K4" s="552"/>
    </row>
    <row r="5" spans="1:19" ht="18">
      <c r="A5" s="554" t="str">
        <f>'OKT.WS.F.BPU.ATRR.Projected'!A5</f>
        <v>OKLAHOMA TRANSMISSION COMPANY</v>
      </c>
      <c r="B5" s="555"/>
      <c r="C5" s="555"/>
      <c r="D5" s="555"/>
      <c r="E5" s="555"/>
      <c r="F5" s="555"/>
      <c r="G5" s="555"/>
      <c r="H5" s="555"/>
      <c r="I5" s="555"/>
      <c r="J5" s="555"/>
      <c r="K5" s="555"/>
    </row>
    <row r="6" spans="1:19" ht="20.25">
      <c r="A6" s="300"/>
      <c r="C6" s="9"/>
      <c r="D6" s="136"/>
      <c r="I6" s="183"/>
    </row>
    <row r="7" spans="1:19">
      <c r="D7" s="136"/>
      <c r="I7" s="183"/>
    </row>
    <row r="8" spans="1:19" ht="39.75" customHeight="1">
      <c r="B8" s="4" t="s">
        <v>0</v>
      </c>
      <c r="C8" s="547" t="str">
        <f>"Calculate Return and Income Taxes with "&amp;F13&amp;" basis point ROE increase for Projects Qualified for Incentive."</f>
        <v>Calculate Return and Income Taxes with 0 basis point ROE increase for Projects Qualified for Incentive.</v>
      </c>
      <c r="D8" s="548"/>
      <c r="E8" s="548"/>
      <c r="F8" s="548"/>
      <c r="G8" s="548"/>
      <c r="H8" s="548"/>
      <c r="I8" s="548"/>
    </row>
    <row r="9" spans="1:19" ht="15.75" customHeight="1">
      <c r="C9" s="5"/>
      <c r="D9" s="5"/>
      <c r="E9" s="5"/>
      <c r="F9" s="5"/>
      <c r="G9" s="5"/>
      <c r="H9" s="5"/>
      <c r="I9" s="5"/>
    </row>
    <row r="10" spans="1:19" ht="15.75">
      <c r="C10" s="6" t="str">
        <f>"A.   Determine 'R' with hypothetical "&amp;F13&amp;" basis point increase in ROE for Identified Projects"</f>
        <v>A.   Determine 'R' with hypothetical 0 basis point increase in ROE for Identified Projects</v>
      </c>
      <c r="D10" s="136"/>
      <c r="I10" s="183"/>
    </row>
    <row r="11" spans="1:19">
      <c r="D11" s="136"/>
      <c r="I11" s="183"/>
    </row>
    <row r="12" spans="1:19">
      <c r="C12" s="201" t="str">
        <f>S105</f>
        <v xml:space="preserve">   ROE w/o incentives  (TCOS, ln 143)</v>
      </c>
      <c r="D12" s="136"/>
      <c r="E12" s="202"/>
      <c r="F12" s="203">
        <v>0.105</v>
      </c>
      <c r="G12" s="203"/>
      <c r="H12" s="204"/>
      <c r="I12" s="205"/>
      <c r="J12" s="206"/>
      <c r="K12" s="206"/>
      <c r="L12" s="206"/>
      <c r="M12" s="206"/>
      <c r="N12" s="206"/>
      <c r="O12" s="206"/>
      <c r="P12" s="206"/>
      <c r="Q12" s="206"/>
      <c r="R12" s="1"/>
      <c r="S12" s="1"/>
    </row>
    <row r="13" spans="1:19" ht="13.5" thickBot="1">
      <c r="C13" s="201" t="s">
        <v>1</v>
      </c>
      <c r="D13" s="136"/>
      <c r="E13" s="202"/>
      <c r="F13" s="207">
        <f>R106</f>
        <v>0</v>
      </c>
      <c r="G13" s="301" t="s">
        <v>133</v>
      </c>
      <c r="L13" s="206"/>
      <c r="M13" s="206"/>
      <c r="N13" s="206"/>
      <c r="O13" s="206"/>
      <c r="P13" s="206"/>
      <c r="Q13" s="206"/>
      <c r="R13" s="1"/>
      <c r="S13" s="1"/>
    </row>
    <row r="14" spans="1:19">
      <c r="C14" s="201" t="str">
        <f>"   ROE with additional "&amp;F13&amp;" basis point incentive"</f>
        <v xml:space="preserve">   ROE with additional 0 basis point incentive</v>
      </c>
      <c r="D14" s="202"/>
      <c r="E14" s="202"/>
      <c r="F14" s="208">
        <f>IF((F12+(F13/10000)&gt;0.1245),"ERROR",F12+(F13/10000))</f>
        <v>0.105</v>
      </c>
      <c r="G14" s="209" t="s">
        <v>2</v>
      </c>
      <c r="I14" s="206"/>
      <c r="J14" s="206"/>
      <c r="K14" s="206"/>
      <c r="L14" s="302" t="s">
        <v>79</v>
      </c>
      <c r="M14" s="303"/>
      <c r="N14" s="303"/>
      <c r="O14" s="303"/>
      <c r="P14" s="304"/>
      <c r="Q14" s="206"/>
      <c r="R14" s="1"/>
      <c r="S14" s="1"/>
    </row>
    <row r="15" spans="1:19">
      <c r="C15" s="201" t="s">
        <v>3</v>
      </c>
      <c r="D15" s="136"/>
      <c r="E15" s="202"/>
      <c r="F15" s="208"/>
      <c r="G15" s="208"/>
      <c r="H15" s="202"/>
      <c r="I15" s="206"/>
      <c r="J15" s="206"/>
      <c r="K15" s="206"/>
      <c r="L15" s="217"/>
      <c r="M15" s="206"/>
      <c r="N15" s="206" t="s">
        <v>9</v>
      </c>
      <c r="O15" s="206" t="s">
        <v>10</v>
      </c>
      <c r="P15" s="219" t="s">
        <v>11</v>
      </c>
      <c r="Q15" s="206"/>
      <c r="R15" s="1"/>
      <c r="S15" s="1"/>
    </row>
    <row r="16" spans="1:19">
      <c r="C16" s="206"/>
      <c r="D16" s="210" t="s">
        <v>5</v>
      </c>
      <c r="E16" s="210" t="s">
        <v>6</v>
      </c>
      <c r="F16" s="211" t="s">
        <v>7</v>
      </c>
      <c r="G16" s="211"/>
      <c r="H16" s="202"/>
      <c r="I16" s="206"/>
      <c r="J16" s="206"/>
      <c r="K16" s="206"/>
      <c r="L16" s="217" t="s">
        <v>80</v>
      </c>
      <c r="M16" s="305">
        <f>+R104</f>
        <v>2025</v>
      </c>
      <c r="P16" s="223"/>
      <c r="Q16" s="206"/>
      <c r="R16" s="1"/>
      <c r="S16" s="1"/>
    </row>
    <row r="17" spans="3:19">
      <c r="C17" s="212" t="s">
        <v>8</v>
      </c>
      <c r="D17" s="213">
        <f>R107</f>
        <v>0.44904655750084377</v>
      </c>
      <c r="E17" s="306">
        <f>R108</f>
        <v>4.4457908955231995E-2</v>
      </c>
      <c r="F17" s="253">
        <f>E17*D17</f>
        <v>1.9963670970032862E-2</v>
      </c>
      <c r="G17" s="253"/>
      <c r="H17" s="202"/>
      <c r="I17" s="206"/>
      <c r="J17" s="216"/>
      <c r="K17" s="216"/>
      <c r="L17" s="222"/>
      <c r="M17" s="307" t="s">
        <v>255</v>
      </c>
      <c r="N17" s="308">
        <f>SUM('OKT.001:OKT.xyz - blank'!M88)</f>
        <v>40965038.490873612</v>
      </c>
      <c r="O17" s="308">
        <f>SUM('OKT.001:OKT.xyz - blank'!N88)</f>
        <v>40965038.490873612</v>
      </c>
      <c r="P17" s="309">
        <f>+O17-N17</f>
        <v>0</v>
      </c>
      <c r="Q17" s="216"/>
      <c r="R17" s="1"/>
      <c r="S17" s="1"/>
    </row>
    <row r="18" spans="3:19" ht="13.5" thickBot="1">
      <c r="C18" s="212" t="s">
        <v>12</v>
      </c>
      <c r="D18" s="213">
        <f>R109</f>
        <v>0</v>
      </c>
      <c r="E18" s="306">
        <f>R110</f>
        <v>0</v>
      </c>
      <c r="F18" s="253">
        <f>E18*D18</f>
        <v>0</v>
      </c>
      <c r="G18" s="253"/>
      <c r="H18" s="220"/>
      <c r="I18" s="220"/>
      <c r="J18" s="221"/>
      <c r="K18" s="221"/>
      <c r="L18" s="222"/>
      <c r="M18" s="310" t="s">
        <v>256</v>
      </c>
      <c r="N18" s="311">
        <f>SUM('OKT.001:OKT.xyz - blank'!M89)</f>
        <v>36751797.471310653</v>
      </c>
      <c r="O18" s="311">
        <f>SUM('OKT.001:OKT.xyz - blank'!N89)</f>
        <v>36751797.471310653</v>
      </c>
      <c r="P18" s="228">
        <f>+O18-N18</f>
        <v>0</v>
      </c>
      <c r="Q18" s="221"/>
      <c r="R18" s="1"/>
      <c r="S18" s="1"/>
    </row>
    <row r="19" spans="3:19">
      <c r="C19" s="212" t="s">
        <v>13</v>
      </c>
      <c r="D19" s="213">
        <f>R111</f>
        <v>0.55095344249915623</v>
      </c>
      <c r="E19" s="306">
        <f>+F14</f>
        <v>0.105</v>
      </c>
      <c r="F19" s="312">
        <f>E19*D19</f>
        <v>5.7850111462411404E-2</v>
      </c>
      <c r="G19" s="312"/>
      <c r="H19" s="220"/>
      <c r="I19" s="220"/>
      <c r="J19" s="208"/>
      <c r="K19" s="221"/>
      <c r="L19" s="222"/>
      <c r="M19" s="313" t="str">
        <f>"True-up Adjustment For "&amp;M16&amp;""</f>
        <v>True-up Adjustment For 2025</v>
      </c>
      <c r="N19" s="232">
        <f>ROUND(N18-N17,0)</f>
        <v>-4213241</v>
      </c>
      <c r="O19" s="232">
        <f>ROUND(+O18-O17,0)</f>
        <v>-4213241</v>
      </c>
      <c r="P19" s="536">
        <f>ROUND(+P18-P17,0)</f>
        <v>0</v>
      </c>
      <c r="Q19" s="221"/>
      <c r="R19" s="1"/>
      <c r="S19" s="1"/>
    </row>
    <row r="20" spans="3:19">
      <c r="C20" s="201"/>
      <c r="D20" s="202"/>
      <c r="E20" s="241" t="s">
        <v>15</v>
      </c>
      <c r="F20" s="253">
        <f>SUM(F17:F19)</f>
        <v>7.7813782432444273E-2</v>
      </c>
      <c r="G20" s="253"/>
      <c r="H20" s="314"/>
      <c r="I20" s="220"/>
      <c r="J20" s="221"/>
      <c r="K20" s="221"/>
      <c r="L20" s="222"/>
      <c r="N20" s="230" t="str">
        <f>IF(N19=ROUND(SUM('OKT.001:OKT.xyz - blank'!M90),0),"","ERROR")</f>
        <v/>
      </c>
      <c r="O20" s="230" t="str">
        <f>IF(O19=ROUND(SUM('OKT.001:OKT.xyz - blank'!N90),0),"","ERROR")</f>
        <v/>
      </c>
      <c r="P20" s="537" t="str">
        <f>IF(P19=ROUND(SUM('OKT.001:OKT.xyz - blank'!O90),0),"","ERROR")</f>
        <v/>
      </c>
      <c r="Q20" s="221"/>
      <c r="R20" s="1"/>
      <c r="S20" s="1"/>
    </row>
    <row r="21" spans="3:19" ht="13.5" thickBot="1">
      <c r="D21" s="231"/>
      <c r="E21" s="231"/>
      <c r="F21" s="220"/>
      <c r="G21" s="220"/>
      <c r="H21" s="220"/>
      <c r="I21" s="220"/>
      <c r="J21" s="220"/>
      <c r="K21" s="220"/>
      <c r="L21" s="315"/>
      <c r="M21" s="316"/>
      <c r="N21" s="317"/>
      <c r="O21" s="318"/>
      <c r="P21" s="228"/>
      <c r="Q21" s="220"/>
      <c r="R21" s="1"/>
      <c r="S21" s="1"/>
    </row>
    <row r="22" spans="3:19" ht="15.75">
      <c r="C22" s="6" t="str">
        <f>"B.   Determine Return using 'R' with hypothetical "&amp;F13&amp;" basis point ROE increase for Identified Projects."</f>
        <v>B.   Determine Return using 'R' with hypothetical 0 basis point ROE increase for Identified Projects.</v>
      </c>
      <c r="D22" s="231"/>
      <c r="E22" s="231"/>
      <c r="F22" s="220"/>
      <c r="G22" s="220"/>
      <c r="H22" s="220"/>
      <c r="I22" s="202"/>
      <c r="J22" s="220"/>
      <c r="K22" s="220"/>
      <c r="L22" s="220"/>
      <c r="M22" s="220"/>
      <c r="N22" s="220"/>
      <c r="O22" s="220"/>
      <c r="P22" s="220"/>
      <c r="Q22" s="220"/>
      <c r="R22" s="1"/>
      <c r="S22" s="1"/>
    </row>
    <row r="23" spans="3:19">
      <c r="C23" s="206"/>
      <c r="D23" s="231"/>
      <c r="E23" s="231"/>
      <c r="F23" s="220"/>
      <c r="G23" s="220"/>
      <c r="H23" s="220"/>
      <c r="I23" s="220"/>
      <c r="J23" s="220"/>
      <c r="K23" s="220"/>
      <c r="L23" s="25" t="s">
        <v>16</v>
      </c>
      <c r="M23" s="220"/>
      <c r="N23" s="220"/>
      <c r="O23" s="220"/>
      <c r="P23" s="220"/>
      <c r="Q23" s="220"/>
      <c r="R23" s="1"/>
      <c r="S23" s="1"/>
    </row>
    <row r="24" spans="3:19">
      <c r="C24" s="201" t="str">
        <f>S112</f>
        <v xml:space="preserve">   Rate Base  (TCOS, ln 63)</v>
      </c>
      <c r="D24" s="202"/>
      <c r="E24" s="233">
        <f>R112</f>
        <v>1377974513.8648512</v>
      </c>
      <c r="F24" s="234"/>
      <c r="G24" s="234"/>
      <c r="H24" s="220"/>
      <c r="I24" s="220"/>
      <c r="J24" s="220"/>
      <c r="K24" s="220"/>
      <c r="L24" t="s">
        <v>17</v>
      </c>
      <c r="M24" s="220"/>
      <c r="N24" s="220"/>
      <c r="O24" s="220"/>
      <c r="P24" s="234"/>
      <c r="Q24" s="220"/>
      <c r="R24" s="1"/>
      <c r="S24" s="1"/>
    </row>
    <row r="25" spans="3:19">
      <c r="C25" s="206" t="s">
        <v>18</v>
      </c>
      <c r="D25" s="204"/>
      <c r="E25" s="235">
        <f>F20</f>
        <v>7.7813782432444273E-2</v>
      </c>
      <c r="F25" s="220"/>
      <c r="G25" s="220"/>
      <c r="H25" s="220"/>
      <c r="I25" s="220"/>
      <c r="J25" s="220"/>
      <c r="K25" s="220"/>
      <c r="L25" s="220"/>
      <c r="M25" s="220"/>
      <c r="N25" s="220"/>
      <c r="O25" s="220"/>
      <c r="P25" s="220"/>
      <c r="Q25" s="220"/>
      <c r="R25" s="1"/>
      <c r="S25" s="1"/>
    </row>
    <row r="26" spans="3:19">
      <c r="C26" s="237" t="s">
        <v>19</v>
      </c>
      <c r="D26" s="237"/>
      <c r="E26" s="221">
        <f>E24*E25</f>
        <v>107225409.01933269</v>
      </c>
      <c r="F26" s="220"/>
      <c r="G26" s="220"/>
      <c r="H26" s="220"/>
      <c r="I26" s="220"/>
      <c r="J26" s="221"/>
      <c r="K26" s="221"/>
      <c r="L26" s="221"/>
      <c r="M26" s="221"/>
      <c r="N26" s="221"/>
      <c r="O26" s="221"/>
      <c r="P26" s="220"/>
      <c r="Q26" s="221"/>
      <c r="R26" s="1"/>
      <c r="S26" s="1"/>
    </row>
    <row r="27" spans="3:19" ht="13.5" thickBot="1">
      <c r="C27" s="237"/>
      <c r="D27" s="206"/>
      <c r="E27" s="206"/>
      <c r="F27" s="220"/>
      <c r="G27" s="220"/>
      <c r="H27" s="220"/>
      <c r="I27" s="220"/>
      <c r="J27" s="221"/>
      <c r="K27" s="221"/>
      <c r="L27" s="221"/>
      <c r="M27" s="221"/>
      <c r="N27" s="319"/>
      <c r="O27" s="221"/>
      <c r="P27" s="220"/>
      <c r="Q27" s="221"/>
      <c r="R27" s="1"/>
      <c r="S27" s="1"/>
    </row>
    <row r="28" spans="3:19" ht="15.75">
      <c r="C28" s="6" t="str">
        <f>"C.   Determine Income Taxes using Return with hypothetical "&amp;F13&amp;" basis point ROE increase for Identified Projects."</f>
        <v>C.   Determine Income Taxes using Return with hypothetical 0 basis point ROE increase for Identified Projects.</v>
      </c>
      <c r="D28" s="238"/>
      <c r="E28" s="238"/>
      <c r="F28" s="239"/>
      <c r="G28" s="239"/>
      <c r="H28" s="239"/>
      <c r="I28" s="239"/>
      <c r="J28" s="240"/>
      <c r="K28" s="240"/>
      <c r="L28" s="240"/>
      <c r="M28" s="240"/>
      <c r="N28" s="240"/>
      <c r="O28" s="320"/>
      <c r="P28" s="239"/>
      <c r="Q28" s="240"/>
      <c r="R28" s="1"/>
      <c r="S28" s="1"/>
    </row>
    <row r="29" spans="3:19">
      <c r="C29" s="201"/>
      <c r="D29" s="206"/>
      <c r="E29" s="206"/>
      <c r="F29" s="220"/>
      <c r="G29" s="220"/>
      <c r="H29" s="220"/>
      <c r="I29" s="220"/>
      <c r="J29" s="221"/>
      <c r="K29" s="221"/>
      <c r="L29" s="221"/>
      <c r="M29" s="221"/>
      <c r="N29" s="321"/>
      <c r="O29" s="221"/>
      <c r="P29" s="220"/>
      <c r="Q29" s="221"/>
      <c r="R29" s="1"/>
      <c r="S29" s="1"/>
    </row>
    <row r="30" spans="3:19">
      <c r="C30" s="206" t="s">
        <v>20</v>
      </c>
      <c r="D30" s="241"/>
      <c r="E30" s="234">
        <f>E26</f>
        <v>107225409.01933269</v>
      </c>
      <c r="F30" s="220"/>
      <c r="G30" s="220"/>
      <c r="H30" s="220"/>
      <c r="I30" s="220"/>
      <c r="J30" s="220"/>
      <c r="K30" s="220"/>
      <c r="L30" s="220"/>
      <c r="M30" s="220"/>
      <c r="N30" s="220"/>
      <c r="O30" s="220"/>
      <c r="P30" s="220"/>
      <c r="Q30" s="220"/>
      <c r="R30" s="1"/>
      <c r="S30" s="1"/>
    </row>
    <row r="31" spans="3:19">
      <c r="C31" s="201" t="str">
        <f>S113</f>
        <v xml:space="preserve">   Tax Rate  (TCOS, ln 99)</v>
      </c>
      <c r="D31" s="241"/>
      <c r="E31" s="7">
        <f>R113</f>
        <v>0.24041499999999993</v>
      </c>
      <c r="F31" s="220"/>
      <c r="G31" s="220"/>
      <c r="H31" s="220"/>
      <c r="I31" s="220"/>
      <c r="J31" s="220"/>
      <c r="K31" s="220"/>
      <c r="L31" s="220"/>
      <c r="M31" s="220"/>
      <c r="N31" s="220"/>
      <c r="O31" s="220"/>
      <c r="P31" s="220"/>
      <c r="Q31" s="220"/>
      <c r="R31" s="1"/>
      <c r="S31" s="1"/>
    </row>
    <row r="32" spans="3:19">
      <c r="C32" s="206" t="s">
        <v>21</v>
      </c>
      <c r="D32" s="2"/>
      <c r="E32" s="208">
        <f>IF(F17&gt;0,($E31/(1-$E31))*(1-$F17/$F20),0)</f>
        <v>0.23530592052037039</v>
      </c>
      <c r="F32" s="1"/>
      <c r="G32" s="1"/>
      <c r="H32" s="1"/>
      <c r="I32" s="242"/>
      <c r="J32" s="1"/>
      <c r="K32" s="1"/>
      <c r="L32" s="1"/>
      <c r="M32" s="1"/>
      <c r="N32" s="1"/>
      <c r="O32" s="1"/>
      <c r="P32" s="1"/>
      <c r="Q32" s="1"/>
      <c r="R32" s="1"/>
      <c r="S32" s="7"/>
    </row>
    <row r="33" spans="2:19">
      <c r="C33" s="243" t="s">
        <v>22</v>
      </c>
      <c r="D33" s="244"/>
      <c r="E33" s="245">
        <f>E30*E32</f>
        <v>25230773.572467305</v>
      </c>
      <c r="F33" s="1"/>
      <c r="G33" s="1"/>
      <c r="H33" s="1"/>
      <c r="I33" s="242"/>
      <c r="J33" s="1"/>
      <c r="K33" s="1"/>
      <c r="L33" s="1"/>
      <c r="M33" s="1"/>
      <c r="N33" s="1"/>
      <c r="O33" s="1"/>
      <c r="P33" s="1"/>
      <c r="Q33" s="1"/>
      <c r="R33" s="1"/>
      <c r="S33" s="1"/>
    </row>
    <row r="34" spans="2:19" ht="15">
      <c r="C34" s="201" t="str">
        <f>S114</f>
        <v xml:space="preserve">   ITC Adjustment  (TCOS, ln 108)</v>
      </c>
      <c r="D34" s="247"/>
      <c r="E34" s="533">
        <f>R114</f>
        <v>0</v>
      </c>
      <c r="F34" s="1"/>
      <c r="G34" s="1"/>
      <c r="H34" s="1"/>
      <c r="I34" s="242"/>
      <c r="J34" s="1"/>
      <c r="K34" s="1"/>
      <c r="L34" s="1"/>
      <c r="M34" s="1"/>
      <c r="N34" s="64"/>
      <c r="O34" s="1"/>
      <c r="P34" s="1"/>
      <c r="Q34" s="1"/>
      <c r="R34" s="1"/>
      <c r="S34" s="1"/>
    </row>
    <row r="35" spans="2:19">
      <c r="C35" s="322" t="s">
        <v>322</v>
      </c>
      <c r="D35" s="2"/>
      <c r="E35" s="323">
        <v>-80149.751180693143</v>
      </c>
      <c r="F35" s="1"/>
      <c r="G35" s="1"/>
      <c r="H35" s="1"/>
      <c r="I35" s="242"/>
      <c r="J35" s="1"/>
      <c r="K35" s="1"/>
      <c r="L35" s="1"/>
      <c r="M35" s="1"/>
      <c r="N35" s="1"/>
      <c r="O35" s="1"/>
      <c r="P35" s="1"/>
      <c r="Q35" s="1"/>
      <c r="R35" s="1"/>
      <c r="S35" s="1"/>
    </row>
    <row r="36" spans="2:19" ht="15">
      <c r="C36" s="322" t="s">
        <v>323</v>
      </c>
      <c r="D36" s="247"/>
      <c r="E36" s="323">
        <v>475793.50303311436</v>
      </c>
      <c r="F36" s="247"/>
      <c r="G36" s="247"/>
      <c r="H36" s="247"/>
      <c r="I36" s="247"/>
      <c r="J36" s="247"/>
      <c r="K36" s="247"/>
      <c r="L36" s="247"/>
      <c r="M36" s="247"/>
      <c r="N36" s="247"/>
      <c r="O36" s="247"/>
      <c r="P36" s="248"/>
      <c r="Q36" s="247"/>
      <c r="R36" s="1"/>
      <c r="S36" s="1"/>
    </row>
    <row r="37" spans="2:19" ht="15">
      <c r="C37" s="243" t="s">
        <v>23</v>
      </c>
      <c r="D37" s="324"/>
      <c r="E37" s="325">
        <f>SUM(E33:E36)</f>
        <v>25626417.324319724</v>
      </c>
      <c r="F37" s="247"/>
      <c r="G37" s="247"/>
      <c r="H37" s="247"/>
      <c r="I37" s="247"/>
      <c r="J37" s="247"/>
      <c r="K37" s="247"/>
      <c r="L37" s="247"/>
      <c r="M37" s="247"/>
      <c r="N37" s="247"/>
      <c r="O37" s="247"/>
      <c r="P37" s="249"/>
      <c r="Q37" s="247"/>
      <c r="R37" s="1"/>
      <c r="S37" s="1"/>
    </row>
    <row r="38" spans="2:19" ht="12.75" customHeight="1">
      <c r="C38" s="250"/>
      <c r="D38" s="247"/>
      <c r="E38" s="247"/>
      <c r="F38" s="247"/>
      <c r="G38" s="247"/>
      <c r="H38" s="247"/>
      <c r="I38" s="247"/>
      <c r="J38" s="247"/>
      <c r="K38" s="247"/>
      <c r="L38" s="247"/>
      <c r="M38" s="247"/>
      <c r="N38" s="247"/>
      <c r="O38" s="247"/>
      <c r="P38" s="249"/>
      <c r="Q38" s="247"/>
      <c r="R38" s="1"/>
      <c r="S38" s="1"/>
    </row>
    <row r="39" spans="2:19" ht="18.75">
      <c r="B39" s="4" t="s">
        <v>24</v>
      </c>
      <c r="C39" s="9" t="str">
        <f>"Calculate Net Plant Carrying Charge Rate (Fixed Charge Rate or FCR) with hypothetical "&amp;F13&amp;" basis point"</f>
        <v>Calculate Net Plant Carrying Charge Rate (Fixed Charge Rate or FCR) with hypothetical 0 basis point</v>
      </c>
      <c r="D39" s="247"/>
      <c r="E39" s="247"/>
      <c r="F39" s="247"/>
      <c r="G39" s="247"/>
      <c r="H39" s="247"/>
      <c r="I39" s="247"/>
      <c r="J39" s="247"/>
      <c r="K39" s="247"/>
      <c r="L39" s="247"/>
      <c r="M39" s="247"/>
      <c r="N39" s="247"/>
      <c r="O39" s="247"/>
      <c r="P39" s="249"/>
      <c r="Q39" s="247"/>
      <c r="R39" s="1"/>
      <c r="S39" s="1"/>
    </row>
    <row r="40" spans="2:19" ht="18.75" customHeight="1">
      <c r="B40" s="4"/>
      <c r="C40" s="9" t="str">
        <f>"ROE increase."</f>
        <v>ROE increase.</v>
      </c>
      <c r="D40" s="247"/>
      <c r="E40" s="247"/>
      <c r="F40" s="247"/>
      <c r="G40" s="247"/>
      <c r="H40" s="247"/>
      <c r="I40" s="247"/>
      <c r="J40" s="247"/>
      <c r="K40" s="247"/>
      <c r="L40" s="247"/>
      <c r="M40" s="247"/>
      <c r="N40" s="247"/>
      <c r="O40" s="247"/>
      <c r="P40" s="249"/>
      <c r="Q40" s="247"/>
      <c r="R40" s="1"/>
      <c r="S40" s="1"/>
    </row>
    <row r="41" spans="2:19" ht="12.75" customHeight="1">
      <c r="C41" s="250"/>
      <c r="D41" s="247"/>
      <c r="E41" s="247"/>
      <c r="F41" s="247"/>
      <c r="G41" s="247"/>
      <c r="H41" s="247"/>
      <c r="I41" s="247"/>
      <c r="J41" s="247"/>
      <c r="K41" s="247"/>
      <c r="L41" s="247"/>
      <c r="M41" s="247"/>
      <c r="N41" s="247"/>
      <c r="O41" s="247"/>
      <c r="P41" s="249"/>
      <c r="Q41" s="247"/>
      <c r="R41" s="1"/>
      <c r="S41" s="1"/>
    </row>
    <row r="42" spans="2:19" ht="15.75">
      <c r="B42" s="1"/>
      <c r="C42" s="6" t="s">
        <v>240</v>
      </c>
      <c r="D42" s="202"/>
      <c r="E42" s="202"/>
      <c r="F42" s="202"/>
      <c r="G42" s="202"/>
      <c r="H42" s="202"/>
      <c r="I42" s="202"/>
      <c r="J42" s="202"/>
      <c r="K42" s="202"/>
      <c r="L42" s="202"/>
      <c r="M42" s="202"/>
      <c r="N42" s="202"/>
      <c r="O42" s="202"/>
      <c r="P42" s="220"/>
      <c r="Q42" s="202"/>
      <c r="R42" s="1"/>
      <c r="S42" s="1"/>
    </row>
    <row r="43" spans="2:19" ht="15.75">
      <c r="B43" s="1"/>
      <c r="C43" s="6"/>
      <c r="D43" s="202"/>
      <c r="E43" s="202"/>
      <c r="F43" s="202"/>
      <c r="G43" s="202"/>
      <c r="H43" s="202"/>
      <c r="I43" s="202"/>
      <c r="J43" s="202"/>
      <c r="K43" s="202"/>
      <c r="L43" s="202"/>
      <c r="M43" s="202"/>
      <c r="N43" s="202"/>
      <c r="O43" s="202"/>
      <c r="P43" s="220"/>
      <c r="Q43" s="202"/>
      <c r="R43" s="1"/>
      <c r="S43" s="1"/>
    </row>
    <row r="44" spans="2:19" ht="12.75" customHeight="1">
      <c r="B44" s="1"/>
      <c r="C44" s="201" t="str">
        <f>S117</f>
        <v xml:space="preserve">   Net Revenue Requirement  (TCOS, ln 117)</v>
      </c>
      <c r="D44" s="202"/>
      <c r="E44" s="202"/>
      <c r="F44" s="220">
        <f>R117</f>
        <v>228479701.55541688</v>
      </c>
      <c r="G44" s="220"/>
      <c r="H44" s="202"/>
      <c r="I44" s="202"/>
      <c r="J44" s="202"/>
      <c r="K44" s="202"/>
      <c r="L44" s="202"/>
      <c r="M44" s="202"/>
      <c r="N44" s="202"/>
      <c r="O44" s="202"/>
      <c r="P44" s="220"/>
      <c r="Q44" s="202"/>
      <c r="R44" s="1"/>
      <c r="S44" s="1"/>
    </row>
    <row r="45" spans="2:19">
      <c r="B45" s="1"/>
      <c r="C45" s="201" t="str">
        <f>S118</f>
        <v xml:space="preserve">   Return  (TCOS, ln 112)</v>
      </c>
      <c r="D45" s="202"/>
      <c r="E45" s="202"/>
      <c r="F45" s="220">
        <f>R118</f>
        <v>107225409.01933269</v>
      </c>
      <c r="G45" s="221"/>
      <c r="H45" s="201"/>
      <c r="I45" s="201"/>
      <c r="J45" s="201"/>
      <c r="K45" s="201"/>
      <c r="L45" s="201"/>
      <c r="M45" s="201"/>
      <c r="N45" s="201"/>
      <c r="O45" s="201"/>
      <c r="P45" s="220"/>
      <c r="Q45" s="201"/>
      <c r="R45" s="1"/>
      <c r="S45" s="1"/>
    </row>
    <row r="46" spans="2:19">
      <c r="B46" s="1"/>
      <c r="C46" s="201" t="str">
        <f>S119</f>
        <v xml:space="preserve">   Income Taxes  (TCOS, ln 111)</v>
      </c>
      <c r="D46" s="202"/>
      <c r="E46" s="202"/>
      <c r="F46" s="220">
        <f>R119</f>
        <v>25626416.407084219</v>
      </c>
      <c r="G46" s="220"/>
      <c r="H46" s="202"/>
      <c r="I46" s="202"/>
      <c r="J46" s="251"/>
      <c r="K46" s="251"/>
      <c r="L46" s="251"/>
      <c r="M46" s="251"/>
      <c r="N46" s="251"/>
      <c r="O46" s="251"/>
      <c r="P46" s="202"/>
      <c r="Q46" s="251"/>
      <c r="R46" s="1"/>
      <c r="S46" s="1"/>
    </row>
    <row r="47" spans="2:19">
      <c r="B47" s="1"/>
      <c r="C47" s="201" t="str">
        <f>S120</f>
        <v xml:space="preserve">  Gross Margin Taxes  (TCOS, ln 116)</v>
      </c>
      <c r="D47" s="202"/>
      <c r="E47" s="202"/>
      <c r="F47" s="534">
        <f>R120</f>
        <v>0</v>
      </c>
      <c r="G47" s="220"/>
      <c r="H47" s="202"/>
      <c r="I47" s="202"/>
      <c r="J47" s="251"/>
      <c r="K47" s="251"/>
      <c r="L47" s="251"/>
      <c r="M47" s="251"/>
      <c r="N47" s="251"/>
      <c r="O47" s="251"/>
      <c r="P47" s="202"/>
      <c r="Q47" s="251"/>
      <c r="R47" s="1"/>
      <c r="S47" s="1"/>
    </row>
    <row r="48" spans="2:19">
      <c r="B48" s="1"/>
      <c r="C48" s="1" t="s">
        <v>25</v>
      </c>
      <c r="D48" s="202"/>
      <c r="E48" s="202"/>
      <c r="F48" s="221">
        <f>F44-F45-F46-F47</f>
        <v>95627876.128999978</v>
      </c>
      <c r="G48" s="221"/>
      <c r="H48" s="218"/>
      <c r="I48" s="202"/>
      <c r="J48" s="218"/>
      <c r="K48" s="218"/>
      <c r="L48" s="218"/>
      <c r="M48" s="218"/>
      <c r="N48" s="218"/>
      <c r="O48" s="218"/>
      <c r="P48" s="218"/>
      <c r="Q48" s="218"/>
      <c r="R48" s="1"/>
      <c r="S48" s="1"/>
    </row>
    <row r="49" spans="2:19">
      <c r="B49" s="1"/>
      <c r="C49" s="201"/>
      <c r="D49" s="202"/>
      <c r="E49" s="202"/>
      <c r="F49" s="220"/>
      <c r="G49" s="220"/>
      <c r="H49" s="203"/>
      <c r="I49" s="253"/>
      <c r="J49" s="253"/>
      <c r="K49" s="253"/>
      <c r="L49" s="253"/>
      <c r="M49" s="253"/>
      <c r="N49" s="253"/>
      <c r="O49" s="253"/>
      <c r="P49" s="253"/>
      <c r="Q49" s="253"/>
      <c r="R49" s="1"/>
      <c r="S49" s="1"/>
    </row>
    <row r="50" spans="2:19" ht="15.75">
      <c r="B50" s="1"/>
      <c r="C50" s="6" t="str">
        <f>"B.   Determine Net Revenue Requirement with hypothetical "&amp;F13&amp;" basis point increase in ROE."</f>
        <v>B.   Determine Net Revenue Requirement with hypothetical 0 basis point increase in ROE.</v>
      </c>
      <c r="D50" s="206"/>
      <c r="E50" s="206"/>
      <c r="F50" s="220"/>
      <c r="G50" s="220"/>
      <c r="H50" s="203"/>
      <c r="I50" s="253"/>
      <c r="J50" s="253"/>
      <c r="K50" s="253"/>
      <c r="L50" s="253"/>
      <c r="M50" s="253"/>
      <c r="N50" s="253"/>
      <c r="O50" s="253"/>
      <c r="P50" s="253"/>
      <c r="Q50" s="253"/>
      <c r="R50" s="1"/>
      <c r="S50" s="1"/>
    </row>
    <row r="51" spans="2:19">
      <c r="B51" s="1"/>
      <c r="C51" s="201"/>
      <c r="D51" s="206"/>
      <c r="E51" s="206"/>
      <c r="F51" s="220"/>
      <c r="G51" s="220"/>
      <c r="H51" s="203"/>
      <c r="I51" s="253"/>
      <c r="J51" s="253"/>
      <c r="K51" s="253"/>
      <c r="L51" s="253"/>
      <c r="M51" s="253"/>
      <c r="N51" s="253"/>
      <c r="O51" s="253"/>
      <c r="P51" s="253"/>
      <c r="Q51" s="253"/>
      <c r="R51" s="1"/>
      <c r="S51" s="1"/>
    </row>
    <row r="52" spans="2:19">
      <c r="B52" s="1"/>
      <c r="C52" s="201" t="str">
        <f>C48</f>
        <v xml:space="preserve">   Net Revenue Requirement, Less Return and Taxes</v>
      </c>
      <c r="D52" s="206"/>
      <c r="E52" s="206"/>
      <c r="F52" s="220">
        <f>F48</f>
        <v>95627876.128999978</v>
      </c>
      <c r="G52" s="220"/>
      <c r="H52" s="202"/>
      <c r="I52" s="202"/>
      <c r="J52" s="202"/>
      <c r="K52" s="202"/>
      <c r="L52" s="202"/>
      <c r="M52" s="202"/>
      <c r="N52" s="202"/>
      <c r="O52" s="202"/>
      <c r="P52" s="256"/>
      <c r="Q52" s="202"/>
      <c r="R52" s="1"/>
      <c r="S52" s="1"/>
    </row>
    <row r="53" spans="2:19">
      <c r="B53" s="1"/>
      <c r="C53" s="206" t="s">
        <v>92</v>
      </c>
      <c r="D53" s="2"/>
      <c r="E53" s="1"/>
      <c r="F53" s="246">
        <f>E26</f>
        <v>107225409.01933269</v>
      </c>
      <c r="G53" s="246"/>
      <c r="H53" s="1"/>
      <c r="I53" s="258"/>
      <c r="J53" s="1"/>
      <c r="K53" s="1"/>
      <c r="L53" s="1"/>
      <c r="M53" s="1"/>
      <c r="N53" s="1"/>
      <c r="O53" s="1"/>
      <c r="P53" s="1"/>
      <c r="Q53" s="1"/>
      <c r="R53" s="1"/>
      <c r="S53" s="1"/>
    </row>
    <row r="54" spans="2:19" ht="12.75" customHeight="1">
      <c r="B54" s="1"/>
      <c r="C54" s="201" t="s">
        <v>26</v>
      </c>
      <c r="D54" s="202"/>
      <c r="E54" s="202"/>
      <c r="F54" s="326">
        <f>E37</f>
        <v>25626417.324319724</v>
      </c>
      <c r="G54" s="259"/>
      <c r="H54" s="1"/>
      <c r="I54" s="260"/>
      <c r="J54" s="1"/>
      <c r="K54" s="1"/>
      <c r="L54" s="1"/>
      <c r="M54" s="1"/>
      <c r="N54" s="1"/>
      <c r="O54" s="1"/>
      <c r="P54" s="1"/>
      <c r="Q54" s="1"/>
      <c r="R54" s="1"/>
      <c r="S54" s="1"/>
    </row>
    <row r="55" spans="2:19">
      <c r="B55" s="1"/>
      <c r="C55" s="1" t="str">
        <f>"   Net Revenue Requirement, with "&amp;F13&amp;" Basis Point ROE increase"</f>
        <v xml:space="preserve">   Net Revenue Requirement, with 0 Basis Point ROE increase</v>
      </c>
      <c r="D55" s="2"/>
      <c r="E55" s="1"/>
      <c r="F55" s="246">
        <f>SUM(F52:F54)</f>
        <v>228479702.47265238</v>
      </c>
      <c r="G55" s="246"/>
      <c r="H55" s="1"/>
      <c r="I55" s="260"/>
      <c r="J55" s="1"/>
      <c r="K55" s="1"/>
      <c r="L55" s="1"/>
      <c r="M55" s="1"/>
      <c r="N55" s="1"/>
      <c r="O55" s="1"/>
      <c r="P55" s="1"/>
      <c r="Q55" s="1"/>
      <c r="R55" s="1"/>
      <c r="S55" s="1"/>
    </row>
    <row r="56" spans="2:19">
      <c r="B56" s="1"/>
      <c r="C56" s="1" t="str">
        <f>"   Gross Margin Tax with "&amp;F13&amp;" Basis Point ROE Increase (II C. below)"</f>
        <v xml:space="preserve">   Gross Margin Tax with 0 Basis Point ROE Increase (II C. below)</v>
      </c>
      <c r="F56" s="261">
        <f>+F71</f>
        <v>0</v>
      </c>
      <c r="G56" s="246"/>
      <c r="H56" s="1"/>
      <c r="I56" s="260"/>
      <c r="J56" s="1"/>
      <c r="K56" s="1"/>
      <c r="L56" s="1"/>
      <c r="M56" s="1"/>
      <c r="N56" s="1"/>
      <c r="O56" s="1"/>
      <c r="P56" s="1"/>
      <c r="Q56" s="1"/>
      <c r="R56" s="1"/>
      <c r="S56" s="1"/>
    </row>
    <row r="57" spans="2:19">
      <c r="B57" s="1"/>
      <c r="C57" s="1" t="s">
        <v>27</v>
      </c>
      <c r="D57" s="2"/>
      <c r="E57" s="1"/>
      <c r="F57" s="246">
        <f>+F55+F56</f>
        <v>228479702.47265238</v>
      </c>
      <c r="G57" s="246"/>
      <c r="H57" s="1"/>
      <c r="I57" s="260"/>
      <c r="J57" s="1"/>
      <c r="K57" s="1"/>
      <c r="L57" s="1"/>
      <c r="M57" s="1"/>
      <c r="N57" s="1"/>
      <c r="O57" s="1"/>
      <c r="P57" s="1"/>
      <c r="Q57" s="1"/>
      <c r="R57" s="1"/>
      <c r="S57" s="1"/>
    </row>
    <row r="58" spans="2:19">
      <c r="B58" s="1"/>
      <c r="C58" s="201" t="str">
        <f>S121</f>
        <v xml:space="preserve">   Less: Depreciation  (TCOS, ln 86)</v>
      </c>
      <c r="D58" s="2"/>
      <c r="E58" s="1"/>
      <c r="F58" s="262">
        <f>R121</f>
        <v>58391913</v>
      </c>
      <c r="G58" s="262"/>
      <c r="H58" s="1"/>
      <c r="I58" s="260"/>
      <c r="J58" s="1"/>
      <c r="K58" s="1"/>
      <c r="L58" s="1"/>
      <c r="M58" s="1"/>
      <c r="N58" s="1"/>
      <c r="O58" s="1"/>
      <c r="P58" s="1"/>
      <c r="Q58" s="1"/>
      <c r="R58" s="1"/>
      <c r="S58" s="1"/>
    </row>
    <row r="59" spans="2:19">
      <c r="B59" s="1"/>
      <c r="C59" s="1" t="str">
        <f>"   Net Rev. Req, w/"&amp;F13&amp;" Basis Point ROE increase, less Depreciation"</f>
        <v xml:space="preserve">   Net Rev. Req, w/0 Basis Point ROE increase, less Depreciation</v>
      </c>
      <c r="D59" s="2"/>
      <c r="E59" s="1"/>
      <c r="F59" s="246">
        <f>F57-F58</f>
        <v>170087789.47265238</v>
      </c>
      <c r="G59" s="246"/>
      <c r="H59" s="1"/>
      <c r="I59" s="260"/>
      <c r="J59" s="1"/>
      <c r="K59" s="1"/>
      <c r="L59" s="1"/>
      <c r="M59" s="1"/>
      <c r="N59" s="1"/>
      <c r="O59" s="1"/>
      <c r="P59" s="1"/>
      <c r="Q59" s="1"/>
      <c r="R59" s="1"/>
      <c r="S59" s="1"/>
    </row>
    <row r="60" spans="2:19">
      <c r="B60" s="1"/>
      <c r="C60" s="1"/>
      <c r="D60" s="2"/>
      <c r="E60" s="1"/>
      <c r="F60" s="1"/>
      <c r="G60" s="1"/>
      <c r="H60" s="1"/>
      <c r="I60" s="260"/>
      <c r="J60" s="1"/>
      <c r="K60" s="1"/>
      <c r="L60" s="1"/>
      <c r="M60" s="1"/>
      <c r="N60" s="1"/>
      <c r="O60" s="1"/>
      <c r="P60" s="1"/>
      <c r="Q60" s="1"/>
      <c r="R60" s="1"/>
      <c r="S60" s="1"/>
    </row>
    <row r="61" spans="2:19" ht="15.75">
      <c r="B61" s="1"/>
      <c r="C61" s="6" t="str">
        <f>"C.   Determine Gross Margin Tax with hypothetical "&amp;F13&amp;" basis point increase in ROE."</f>
        <v>C.   Determine Gross Margin Tax with hypothetical 0 basis point increase in ROE.</v>
      </c>
      <c r="F61" s="246"/>
      <c r="G61" s="246"/>
      <c r="H61" s="1"/>
      <c r="I61" s="260"/>
      <c r="J61" s="1"/>
      <c r="K61" s="1"/>
      <c r="L61" s="1"/>
      <c r="M61" s="1"/>
      <c r="N61" s="1"/>
      <c r="O61" s="1"/>
      <c r="P61" s="1"/>
      <c r="Q61" s="1"/>
      <c r="R61" s="1"/>
      <c r="S61" s="1"/>
    </row>
    <row r="62" spans="2:19">
      <c r="B62" s="1"/>
      <c r="C62" s="1" t="str">
        <f>"   Net Revenue Requirement before Gross Margin Taxes, with "&amp;F13&amp;" "</f>
        <v xml:space="preserve">   Net Revenue Requirement before Gross Margin Taxes, with 0 </v>
      </c>
      <c r="F62" s="246">
        <f>+F55</f>
        <v>228479702.47265238</v>
      </c>
      <c r="G62" s="246"/>
      <c r="H62" s="1"/>
      <c r="I62" s="260"/>
      <c r="J62" s="1"/>
      <c r="K62" s="1"/>
      <c r="L62" s="1"/>
      <c r="M62" s="1"/>
      <c r="N62" s="1"/>
      <c r="O62" s="1"/>
      <c r="P62" s="1"/>
      <c r="Q62" s="1"/>
      <c r="R62" s="1"/>
      <c r="S62" s="1"/>
    </row>
    <row r="63" spans="2:19">
      <c r="B63" s="1"/>
      <c r="C63" s="1" t="s">
        <v>28</v>
      </c>
      <c r="F63" s="246"/>
      <c r="G63" s="246"/>
      <c r="H63" s="1"/>
      <c r="I63" s="260"/>
      <c r="J63" s="1"/>
      <c r="K63" s="1"/>
      <c r="L63" s="1"/>
      <c r="M63" s="1"/>
      <c r="N63" s="1"/>
      <c r="O63" s="1"/>
      <c r="P63" s="1"/>
      <c r="Q63" s="1"/>
      <c r="R63" s="1"/>
      <c r="S63" s="1"/>
    </row>
    <row r="64" spans="2:19">
      <c r="B64" s="1"/>
      <c r="C64" s="1" t="str">
        <f>S120</f>
        <v xml:space="preserve">  Gross Margin Taxes  (TCOS, ln 116)</v>
      </c>
      <c r="D64" s="2"/>
      <c r="E64" s="1"/>
      <c r="F64" s="264">
        <f>R120</f>
        <v>0</v>
      </c>
      <c r="G64" s="7"/>
      <c r="H64" s="1"/>
      <c r="I64" s="260"/>
      <c r="J64" s="1"/>
      <c r="K64" s="1"/>
      <c r="L64" s="1"/>
      <c r="M64" s="1"/>
      <c r="N64" s="1"/>
      <c r="O64" s="1"/>
      <c r="P64" s="1"/>
      <c r="Q64" s="1"/>
      <c r="R64" s="1"/>
      <c r="S64" s="1"/>
    </row>
    <row r="65" spans="2:19">
      <c r="B65" s="1"/>
      <c r="C65" s="1" t="s">
        <v>29</v>
      </c>
      <c r="D65" s="2"/>
      <c r="E65" s="1"/>
      <c r="F65" s="535">
        <f>+F64*F62</f>
        <v>0</v>
      </c>
      <c r="G65" s="246"/>
      <c r="H65" s="1"/>
      <c r="I65" s="260"/>
      <c r="J65" s="1"/>
      <c r="K65" s="1"/>
      <c r="L65" s="1"/>
      <c r="M65" s="1"/>
      <c r="N65" s="1"/>
      <c r="O65" s="1"/>
      <c r="P65" s="1"/>
      <c r="Q65" s="1"/>
      <c r="R65" s="1"/>
      <c r="S65" s="1"/>
    </row>
    <row r="66" spans="2:19">
      <c r="B66" s="1"/>
      <c r="C66" s="1" t="str">
        <f>+'OKT.WS.F.BPU.ATRR.Projected'!C64</f>
        <v xml:space="preserve">       Taxable Percentage of Revenue (22%)</v>
      </c>
      <c r="D66" s="2"/>
      <c r="E66" s="1"/>
      <c r="F66" s="265">
        <f>+'OKT.WS.F.BPU.ATRR.Projected'!F64</f>
        <v>0.22</v>
      </c>
      <c r="G66" s="327"/>
      <c r="H66" s="1"/>
      <c r="I66" s="260"/>
      <c r="J66" s="1"/>
      <c r="K66" s="1"/>
      <c r="L66" s="1"/>
      <c r="M66" s="1"/>
      <c r="N66" s="1"/>
      <c r="O66" s="1"/>
      <c r="P66" s="1"/>
      <c r="Q66" s="1"/>
      <c r="R66" s="1"/>
      <c r="S66" s="1"/>
    </row>
    <row r="67" spans="2:19">
      <c r="B67" s="1"/>
      <c r="C67" s="1" t="s">
        <v>30</v>
      </c>
      <c r="D67" s="2"/>
      <c r="E67" s="1"/>
      <c r="F67" s="246">
        <f>+F65*F66</f>
        <v>0</v>
      </c>
      <c r="G67" s="246"/>
      <c r="H67" s="1"/>
      <c r="I67" s="260"/>
      <c r="J67" s="1"/>
      <c r="K67" s="1"/>
      <c r="L67" s="1"/>
      <c r="M67" s="1"/>
      <c r="N67" s="1"/>
      <c r="O67" s="1"/>
      <c r="P67" s="1"/>
      <c r="Q67" s="1"/>
      <c r="R67" s="1"/>
      <c r="S67" s="1"/>
    </row>
    <row r="68" spans="2:19">
      <c r="B68" s="1"/>
      <c r="C68" s="1" t="s">
        <v>31</v>
      </c>
      <c r="D68" s="2"/>
      <c r="E68" s="1"/>
      <c r="F68" s="265">
        <v>0.01</v>
      </c>
      <c r="G68" s="327"/>
      <c r="H68" s="1"/>
      <c r="I68" s="260"/>
      <c r="J68" s="1"/>
      <c r="K68" s="1"/>
      <c r="L68" s="1"/>
      <c r="M68" s="1"/>
      <c r="N68" s="1"/>
      <c r="O68" s="1"/>
      <c r="P68" s="1"/>
      <c r="Q68" s="1"/>
      <c r="R68" s="1"/>
      <c r="S68" s="1"/>
    </row>
    <row r="69" spans="2:19">
      <c r="B69" s="1"/>
      <c r="C69" s="1" t="s">
        <v>32</v>
      </c>
      <c r="D69" s="2"/>
      <c r="E69" s="1"/>
      <c r="F69" s="246">
        <f>+F67*F68</f>
        <v>0</v>
      </c>
      <c r="G69" s="246"/>
      <c r="H69" s="1"/>
      <c r="I69" s="260"/>
      <c r="J69" s="1"/>
      <c r="K69" s="1"/>
      <c r="L69" s="1"/>
      <c r="M69" s="1"/>
      <c r="N69" s="1"/>
      <c r="O69" s="1"/>
      <c r="P69" s="1"/>
      <c r="Q69" s="1"/>
      <c r="R69" s="1"/>
      <c r="S69" s="1"/>
    </row>
    <row r="70" spans="2:19">
      <c r="B70" s="1"/>
      <c r="C70" s="1" t="s">
        <v>33</v>
      </c>
      <c r="D70" s="2"/>
      <c r="E70" s="1"/>
      <c r="F70" s="266">
        <f>+ROUND((F69*F66*F64)/(1-F68)*F68,0)</f>
        <v>0</v>
      </c>
      <c r="G70" s="328"/>
      <c r="H70" s="1"/>
      <c r="I70" s="260"/>
      <c r="J70" s="1"/>
      <c r="K70" s="1"/>
      <c r="L70" s="1"/>
      <c r="M70" s="1"/>
      <c r="N70" s="1"/>
      <c r="O70" s="1"/>
      <c r="P70" s="1"/>
      <c r="Q70" s="1"/>
      <c r="R70" s="1"/>
      <c r="S70" s="1"/>
    </row>
    <row r="71" spans="2:19">
      <c r="B71" s="1"/>
      <c r="C71" s="1" t="s">
        <v>34</v>
      </c>
      <c r="D71" s="2"/>
      <c r="E71" s="1"/>
      <c r="F71" s="246">
        <f>+F69+F70</f>
        <v>0</v>
      </c>
      <c r="G71" s="246"/>
      <c r="H71" s="1"/>
      <c r="I71" s="260"/>
      <c r="J71" s="1"/>
      <c r="K71" s="1"/>
      <c r="L71" s="1"/>
      <c r="M71" s="1"/>
      <c r="N71" s="1"/>
      <c r="O71" s="1"/>
      <c r="P71" s="1"/>
      <c r="Q71" s="1"/>
      <c r="R71" s="1"/>
      <c r="S71" s="1"/>
    </row>
    <row r="72" spans="2:19">
      <c r="B72" s="1"/>
      <c r="C72" s="1"/>
      <c r="D72" s="2"/>
      <c r="E72" s="1"/>
      <c r="F72" s="1"/>
      <c r="G72" s="1"/>
      <c r="H72" s="1"/>
      <c r="I72" s="260"/>
      <c r="J72" s="1"/>
      <c r="K72" s="1"/>
      <c r="L72" s="1"/>
      <c r="M72" s="1"/>
      <c r="N72" s="1"/>
      <c r="O72" s="1"/>
      <c r="P72" s="1"/>
      <c r="Q72" s="1"/>
      <c r="R72" s="1"/>
      <c r="S72" s="1"/>
    </row>
    <row r="73" spans="2:19" ht="15.75">
      <c r="B73" s="1"/>
      <c r="C73" s="6" t="str">
        <f>"D.   Determine FCR with hypothetical "&amp;F13&amp;" basis point ROE increase."</f>
        <v>D.   Determine FCR with hypothetical 0 basis point ROE increase.</v>
      </c>
      <c r="D73" s="2"/>
      <c r="E73" s="1"/>
      <c r="F73" s="1"/>
      <c r="G73" s="1"/>
      <c r="H73" s="1"/>
      <c r="I73" s="183"/>
      <c r="J73" s="1"/>
      <c r="K73" s="1"/>
      <c r="L73" s="1"/>
      <c r="M73" s="1"/>
      <c r="N73" s="1"/>
      <c r="O73" s="1"/>
      <c r="P73" s="1"/>
      <c r="Q73" s="1"/>
      <c r="R73" s="1"/>
      <c r="S73" s="1"/>
    </row>
    <row r="74" spans="2:19">
      <c r="B74" s="1"/>
      <c r="C74" s="1"/>
      <c r="D74" s="2"/>
      <c r="E74" s="1"/>
      <c r="F74" s="1"/>
      <c r="G74" s="1"/>
      <c r="H74" s="1"/>
      <c r="I74" s="260"/>
      <c r="J74" s="1"/>
      <c r="K74" s="1"/>
      <c r="L74" s="1"/>
      <c r="M74" s="1"/>
      <c r="N74" s="1"/>
      <c r="O74" s="1"/>
      <c r="P74" s="1"/>
      <c r="Q74" s="1"/>
      <c r="R74" s="1"/>
      <c r="S74" s="1"/>
    </row>
    <row r="75" spans="2:19">
      <c r="B75" s="1"/>
      <c r="C75" s="201" t="str">
        <f>S123</f>
        <v xml:space="preserve">   Net Transmission Plant  (TCOS, ln 37)</v>
      </c>
      <c r="D75" s="2"/>
      <c r="E75" s="1"/>
      <c r="F75" s="246">
        <f>R123</f>
        <v>1512362496.1138458</v>
      </c>
      <c r="G75" s="246"/>
      <c r="I75" s="183"/>
      <c r="J75" s="1"/>
      <c r="K75" s="1"/>
      <c r="L75" s="1"/>
      <c r="M75" s="1"/>
      <c r="N75" s="1"/>
      <c r="O75" s="1"/>
      <c r="P75" s="1"/>
      <c r="Q75" s="1"/>
      <c r="R75" s="1"/>
      <c r="S75" s="1"/>
    </row>
    <row r="76" spans="2:19" ht="15">
      <c r="B76" s="1"/>
      <c r="C76" s="1" t="str">
        <f>"   Net Revenue Requirement, with "&amp;F13&amp;" Basis Point ROE increase"</f>
        <v xml:space="preserve">   Net Revenue Requirement, with 0 Basis Point ROE increase</v>
      </c>
      <c r="D76" s="2"/>
      <c r="E76" s="1"/>
      <c r="F76" s="329">
        <f>+F57</f>
        <v>228479702.47265238</v>
      </c>
      <c r="G76" s="329"/>
      <c r="I76" s="183"/>
      <c r="J76" s="1"/>
      <c r="K76" s="1"/>
      <c r="L76" s="1"/>
      <c r="M76" s="1"/>
      <c r="N76" s="1"/>
      <c r="O76" s="1"/>
      <c r="P76" s="1"/>
      <c r="Q76" s="1"/>
      <c r="R76" s="1"/>
      <c r="S76" s="1"/>
    </row>
    <row r="77" spans="2:19">
      <c r="B77" s="1"/>
      <c r="C77" s="1" t="str">
        <f>"   FCR with "&amp;F13&amp;" Basis Point increase in ROE"</f>
        <v xml:space="preserve">   FCR with 0 Basis Point increase in ROE</v>
      </c>
      <c r="D77" s="2"/>
      <c r="E77" s="1"/>
      <c r="F77" s="7">
        <f>IF(F75=0,0,F76/F75)</f>
        <v>0.15107469476382279</v>
      </c>
      <c r="G77" s="7"/>
      <c r="I77" s="183"/>
      <c r="J77" s="1"/>
      <c r="K77" s="1"/>
      <c r="L77" s="1"/>
      <c r="M77" s="1"/>
      <c r="N77" s="1"/>
      <c r="O77" s="1"/>
      <c r="P77" s="1"/>
      <c r="Q77" s="1"/>
      <c r="R77" s="1"/>
      <c r="S77" s="1"/>
    </row>
    <row r="78" spans="2:19">
      <c r="B78" s="1"/>
      <c r="D78" s="2"/>
      <c r="E78" s="1"/>
      <c r="F78" s="1"/>
      <c r="G78" s="1"/>
      <c r="H78" s="330"/>
      <c r="I78" s="183"/>
      <c r="J78" s="1"/>
      <c r="K78" s="1"/>
      <c r="L78" s="1"/>
      <c r="M78" s="1"/>
      <c r="N78" s="1"/>
      <c r="O78" s="1"/>
      <c r="P78" s="1"/>
      <c r="Q78" s="1"/>
      <c r="R78" s="1"/>
      <c r="S78" s="1"/>
    </row>
    <row r="79" spans="2:19">
      <c r="B79" s="1"/>
      <c r="C79" s="1" t="str">
        <f>"   Net Rev. Req, w / "&amp;F13&amp;" Basis Point ROE increase, less Dep."</f>
        <v xml:space="preserve">   Net Rev. Req, w / 0 Basis Point ROE increase, less Dep.</v>
      </c>
      <c r="D79" s="2"/>
      <c r="E79" s="1"/>
      <c r="F79" s="246">
        <f>+F59</f>
        <v>170087789.47265238</v>
      </c>
      <c r="G79" s="246"/>
      <c r="I79" s="183"/>
      <c r="J79" s="1"/>
      <c r="K79" s="1"/>
      <c r="L79" s="1"/>
      <c r="M79" s="1"/>
      <c r="N79" s="1"/>
      <c r="O79" s="1"/>
      <c r="P79" s="1"/>
      <c r="Q79" s="1"/>
      <c r="R79" s="1"/>
      <c r="S79" s="1"/>
    </row>
    <row r="80" spans="2:19">
      <c r="B80" s="1"/>
      <c r="C80" s="1" t="str">
        <f>"   FCR with "&amp;F13&amp;" Basis Point ROE increase, less Depreciation"</f>
        <v xml:space="preserve">   FCR with 0 Basis Point ROE increase, less Depreciation</v>
      </c>
      <c r="D80" s="2"/>
      <c r="E80" s="1"/>
      <c r="F80" s="7">
        <f>IF(F75=0,0,F79/F75)</f>
        <v>0.11246496121776925</v>
      </c>
      <c r="G80" s="7"/>
      <c r="H80" s="267"/>
      <c r="I80" s="183"/>
      <c r="J80" s="1"/>
      <c r="K80" s="1"/>
      <c r="L80" s="1"/>
      <c r="M80" s="1"/>
      <c r="N80" s="1"/>
      <c r="O80" s="1"/>
      <c r="P80" s="1"/>
      <c r="Q80" s="1"/>
      <c r="R80" s="1"/>
      <c r="S80" s="1"/>
    </row>
    <row r="81" spans="2:19">
      <c r="B81" s="1"/>
      <c r="C81" s="201" t="str">
        <f>S124</f>
        <v xml:space="preserve">   FCR less Depreciation  (TCOS, ln 10)</v>
      </c>
      <c r="D81" s="2"/>
      <c r="E81" s="1"/>
      <c r="F81" s="268">
        <f>R124</f>
        <v>0.11246496061127743</v>
      </c>
      <c r="G81" s="268"/>
      <c r="H81" s="331"/>
      <c r="I81" s="183"/>
      <c r="J81" s="1"/>
      <c r="K81" s="1"/>
      <c r="L81" s="1"/>
      <c r="M81" s="1"/>
      <c r="N81" s="1"/>
      <c r="O81" s="1"/>
      <c r="P81" s="1"/>
      <c r="Q81" s="1"/>
      <c r="R81" s="1"/>
      <c r="S81" s="1"/>
    </row>
    <row r="82" spans="2:19">
      <c r="B82" s="1"/>
      <c r="C82" s="1" t="str">
        <f>"   Incremental FCR with "&amp;F13&amp;" Basis Point ROE increase, less Depreciation"</f>
        <v xml:space="preserve">   Incremental FCR with 0 Basis Point ROE increase, less Depreciation</v>
      </c>
      <c r="D82" s="2"/>
      <c r="E82" s="1"/>
      <c r="F82" s="7">
        <f>F80-F81</f>
        <v>6.0649181510274985E-10</v>
      </c>
      <c r="G82" s="7"/>
      <c r="I82" s="183"/>
      <c r="J82" s="1"/>
      <c r="K82" s="1"/>
      <c r="L82" s="1"/>
      <c r="M82" s="1"/>
      <c r="N82" s="1"/>
      <c r="O82" s="1"/>
      <c r="P82" s="1"/>
      <c r="Q82" s="1"/>
      <c r="R82" s="1"/>
      <c r="S82" s="1"/>
    </row>
    <row r="83" spans="2:19">
      <c r="B83" s="1"/>
      <c r="C83" s="1"/>
      <c r="D83" s="2"/>
      <c r="E83" s="1"/>
      <c r="F83" s="7"/>
      <c r="G83" s="7"/>
      <c r="H83" s="1"/>
      <c r="I83" s="260"/>
      <c r="J83" s="1"/>
      <c r="K83" s="1"/>
      <c r="L83" s="1"/>
      <c r="M83" s="1"/>
      <c r="N83" s="1"/>
      <c r="O83" s="1"/>
      <c r="P83" s="1"/>
      <c r="Q83" s="1"/>
      <c r="R83" s="1"/>
      <c r="S83" s="1"/>
    </row>
    <row r="84" spans="2:19" ht="18.75">
      <c r="B84" s="4" t="s">
        <v>35</v>
      </c>
      <c r="C84" s="9" t="s">
        <v>36</v>
      </c>
      <c r="D84" s="2"/>
      <c r="E84" s="1"/>
      <c r="F84" s="7"/>
      <c r="G84" s="7"/>
      <c r="H84" s="1"/>
      <c r="I84" s="260"/>
      <c r="J84" s="1"/>
      <c r="K84" s="1"/>
      <c r="L84" s="1"/>
      <c r="M84" s="1"/>
      <c r="N84" s="1"/>
      <c r="O84" s="1"/>
      <c r="P84" s="1"/>
      <c r="Q84" s="1"/>
      <c r="R84" s="1"/>
      <c r="S84" s="1"/>
    </row>
    <row r="85" spans="2:19" ht="12.75" customHeight="1">
      <c r="B85" s="4"/>
      <c r="C85" s="9"/>
      <c r="D85" s="2"/>
      <c r="E85" s="1"/>
      <c r="F85" s="7"/>
      <c r="G85" s="7"/>
      <c r="H85" s="1"/>
      <c r="I85" s="260"/>
      <c r="J85" s="1"/>
      <c r="K85" s="1"/>
      <c r="L85" s="1"/>
      <c r="M85" s="1"/>
      <c r="N85" s="1"/>
      <c r="O85" s="1"/>
      <c r="P85" s="1"/>
      <c r="Q85" s="1"/>
      <c r="R85" s="1"/>
      <c r="S85" s="1"/>
    </row>
    <row r="86" spans="2:19" ht="12.75" customHeight="1">
      <c r="B86" s="4"/>
      <c r="C86" s="1" t="s">
        <v>37</v>
      </c>
      <c r="D86" s="2"/>
      <c r="F86" s="332">
        <v>1757644027.9499998</v>
      </c>
      <c r="G86" s="1" t="s">
        <v>241</v>
      </c>
      <c r="I86" s="540"/>
      <c r="J86" s="540"/>
      <c r="K86" s="540"/>
      <c r="L86" s="540"/>
      <c r="M86" s="540"/>
      <c r="N86" s="540"/>
      <c r="O86" s="1"/>
      <c r="P86" s="1"/>
      <c r="Q86" s="1"/>
      <c r="R86" s="1"/>
      <c r="S86" s="1"/>
    </row>
    <row r="87" spans="2:19" ht="12.75" customHeight="1">
      <c r="B87" s="4"/>
      <c r="C87" s="1" t="s">
        <v>38</v>
      </c>
      <c r="D87" s="2"/>
      <c r="F87" s="333">
        <v>1984255175.0999992</v>
      </c>
      <c r="G87" s="1" t="s">
        <v>241</v>
      </c>
      <c r="I87" s="540"/>
      <c r="J87" s="540"/>
      <c r="K87" s="540"/>
      <c r="L87" s="540"/>
      <c r="M87" s="540"/>
      <c r="N87" s="540"/>
      <c r="O87" s="1"/>
      <c r="P87" s="1"/>
      <c r="Q87" s="1"/>
      <c r="R87" s="1"/>
      <c r="S87" s="1"/>
    </row>
    <row r="88" spans="2:19" ht="12.75" customHeight="1">
      <c r="B88" s="4"/>
      <c r="C88" s="1"/>
      <c r="D88" s="2"/>
      <c r="F88" s="263">
        <f>SUM(F86:F87)</f>
        <v>3741899203.0499992</v>
      </c>
      <c r="G88" s="260"/>
      <c r="H88" s="1"/>
      <c r="I88" s="540"/>
      <c r="J88" s="540"/>
      <c r="K88" s="540"/>
      <c r="L88" s="540"/>
      <c r="M88" s="540"/>
      <c r="N88" s="540"/>
      <c r="O88" s="1"/>
      <c r="P88" s="1"/>
      <c r="Q88" s="1"/>
      <c r="R88" s="1"/>
      <c r="S88" s="1"/>
    </row>
    <row r="89" spans="2:19">
      <c r="B89" s="1"/>
      <c r="C89" s="1" t="str">
        <f>+S125</f>
        <v>Transmission Plant @ Beginning of Period (P.206, ln 58)</v>
      </c>
      <c r="D89" s="2"/>
      <c r="F89" s="270">
        <f>+F88/2</f>
        <v>1870949601.5249996</v>
      </c>
      <c r="G89" s="258"/>
      <c r="I89" s="540"/>
      <c r="J89" s="540"/>
      <c r="K89" s="540"/>
      <c r="L89" s="540"/>
      <c r="M89" s="540"/>
      <c r="N89" s="540"/>
      <c r="O89" s="1"/>
      <c r="P89" s="1"/>
      <c r="Q89" s="1"/>
      <c r="R89" s="1"/>
      <c r="S89" s="1"/>
    </row>
    <row r="90" spans="2:19">
      <c r="B90" s="1"/>
      <c r="C90" s="201" t="str">
        <f>S128</f>
        <v>Annual Depreciation Expense  (TCOS, ln 86)</v>
      </c>
      <c r="D90" s="2"/>
      <c r="E90" s="1"/>
      <c r="F90" s="270">
        <f>R128</f>
        <v>58391913</v>
      </c>
      <c r="G90" s="258"/>
      <c r="I90" s="540"/>
      <c r="J90" s="540"/>
      <c r="K90" s="540"/>
      <c r="L90" s="540"/>
      <c r="M90" s="540"/>
      <c r="N90" s="540"/>
      <c r="O90" s="1"/>
      <c r="P90" s="1"/>
      <c r="Q90" s="1"/>
      <c r="R90" s="1"/>
      <c r="S90" s="1"/>
    </row>
    <row r="91" spans="2:19">
      <c r="B91" s="1"/>
      <c r="C91" s="1" t="s">
        <v>39</v>
      </c>
      <c r="D91" s="2"/>
      <c r="E91" s="1"/>
      <c r="F91" s="7">
        <f>F90/F89</f>
        <v>3.120977334312218E-2</v>
      </c>
      <c r="G91" s="7"/>
      <c r="H91" s="1"/>
      <c r="I91" s="540"/>
      <c r="J91" s="540"/>
      <c r="K91" s="540"/>
      <c r="L91" s="540"/>
      <c r="M91" s="540"/>
      <c r="N91" s="540"/>
      <c r="O91" s="1"/>
      <c r="P91" s="1"/>
      <c r="Q91" s="1"/>
      <c r="R91" s="1"/>
      <c r="S91" s="1"/>
    </row>
    <row r="92" spans="2:19">
      <c r="B92" s="1"/>
      <c r="C92" s="1" t="s">
        <v>40</v>
      </c>
      <c r="D92" s="2"/>
      <c r="E92" s="1"/>
      <c r="F92" s="272">
        <f>IF(F91=0,0,1/F91)</f>
        <v>32.041245189637813</v>
      </c>
      <c r="G92" s="272"/>
      <c r="H92" s="1"/>
      <c r="I92" s="260"/>
      <c r="J92" s="1"/>
      <c r="K92" s="1"/>
      <c r="L92" s="1"/>
      <c r="M92" s="1"/>
      <c r="N92" s="1"/>
      <c r="O92" s="1"/>
      <c r="P92" s="1"/>
      <c r="Q92" s="1"/>
      <c r="R92" s="1"/>
      <c r="S92" s="1"/>
    </row>
    <row r="93" spans="2:19">
      <c r="B93" s="1"/>
      <c r="C93" s="1" t="s">
        <v>41</v>
      </c>
      <c r="D93" s="2"/>
      <c r="E93" s="1"/>
      <c r="F93" s="11">
        <f>ROUND(F92,0)</f>
        <v>32</v>
      </c>
      <c r="G93" s="11"/>
      <c r="H93" s="1"/>
      <c r="I93" s="260"/>
      <c r="J93" s="1"/>
      <c r="K93" s="1"/>
      <c r="L93" s="1"/>
      <c r="M93" s="1"/>
      <c r="N93" s="1"/>
      <c r="O93" s="1"/>
      <c r="P93" s="1"/>
      <c r="Q93" s="1"/>
      <c r="R93" s="1"/>
      <c r="S93" s="1"/>
    </row>
    <row r="94" spans="2:19">
      <c r="B94" s="1"/>
      <c r="C94" s="1"/>
      <c r="D94" s="2"/>
      <c r="E94" s="1"/>
      <c r="F94" s="11"/>
      <c r="G94" s="11"/>
      <c r="H94" s="1"/>
      <c r="I94" s="260"/>
      <c r="J94" s="1"/>
      <c r="K94" s="1"/>
      <c r="L94" s="1"/>
      <c r="M94" s="1"/>
      <c r="N94" s="1"/>
      <c r="O94" s="1"/>
      <c r="P94" s="1"/>
      <c r="Q94" s="1"/>
      <c r="R94" s="1"/>
      <c r="S94" s="1"/>
    </row>
    <row r="95" spans="2:19">
      <c r="B95" s="1"/>
      <c r="C95" s="1"/>
      <c r="D95" s="2"/>
      <c r="E95" s="1"/>
      <c r="F95" s="11"/>
      <c r="G95" s="11"/>
      <c r="H95" s="1"/>
      <c r="I95" s="260"/>
      <c r="J95" s="1"/>
      <c r="K95" s="1"/>
      <c r="L95" s="1"/>
      <c r="M95" s="1"/>
      <c r="N95" s="1"/>
      <c r="O95" s="1"/>
      <c r="P95" s="1"/>
      <c r="Q95" s="1"/>
      <c r="R95" s="1"/>
      <c r="S95" s="1"/>
    </row>
    <row r="96" spans="2:19">
      <c r="B96" s="1"/>
      <c r="C96" s="1"/>
      <c r="D96" s="2"/>
      <c r="E96" s="1"/>
      <c r="F96" s="11"/>
      <c r="G96" s="11"/>
      <c r="H96" s="1"/>
      <c r="I96" s="260"/>
      <c r="J96" s="1"/>
      <c r="K96" s="1"/>
      <c r="L96" s="1"/>
      <c r="M96" s="1"/>
      <c r="N96" s="1"/>
      <c r="O96" s="1"/>
      <c r="P96" s="1"/>
      <c r="Q96" s="1"/>
      <c r="R96" s="1"/>
      <c r="S96" s="1"/>
    </row>
    <row r="97" spans="3:19">
      <c r="C97" s="1"/>
      <c r="D97" s="2"/>
      <c r="E97" s="1"/>
      <c r="F97" s="1"/>
      <c r="G97" s="1"/>
      <c r="H97" s="1"/>
      <c r="I97" s="260"/>
      <c r="J97" s="1"/>
      <c r="K97" s="1"/>
      <c r="L97" s="1"/>
      <c r="M97" s="1"/>
      <c r="N97" s="1"/>
      <c r="O97" s="1"/>
      <c r="P97" s="1"/>
      <c r="Q97" s="1"/>
      <c r="R97" s="273" t="s">
        <v>111</v>
      </c>
      <c r="S97" s="274" t="s">
        <v>117</v>
      </c>
    </row>
    <row r="98" spans="3:19">
      <c r="C98" s="1"/>
      <c r="D98" s="2"/>
      <c r="E98" s="1"/>
      <c r="F98" s="1"/>
      <c r="G98" s="1"/>
      <c r="H98" s="1"/>
      <c r="I98" s="260"/>
      <c r="J98" s="1"/>
      <c r="K98" s="1"/>
      <c r="L98" s="1"/>
      <c r="M98" s="1"/>
      <c r="N98" s="1"/>
      <c r="O98" s="1"/>
      <c r="P98" s="1"/>
      <c r="Q98" s="1"/>
    </row>
    <row r="99" spans="3:19">
      <c r="C99" s="90" t="s">
        <v>108</v>
      </c>
      <c r="L99" s="90" t="s">
        <v>107</v>
      </c>
      <c r="N99" s="1"/>
      <c r="O99" s="1"/>
      <c r="P99" s="1"/>
      <c r="Q99" s="1"/>
    </row>
    <row r="100" spans="3:19">
      <c r="C100" s="1"/>
      <c r="D100" s="2"/>
      <c r="E100" s="1"/>
      <c r="F100" s="1"/>
      <c r="G100" s="1"/>
      <c r="H100" s="1"/>
      <c r="I100" s="260"/>
      <c r="J100" s="1"/>
      <c r="K100" s="1"/>
      <c r="L100" s="1"/>
      <c r="M100" s="1"/>
      <c r="N100" s="1"/>
      <c r="O100" s="1"/>
      <c r="P100" s="1"/>
      <c r="Q100" s="1"/>
      <c r="S100" s="274" t="s">
        <v>105</v>
      </c>
    </row>
    <row r="101" spans="3:19">
      <c r="C101" s="1"/>
      <c r="D101" s="2"/>
      <c r="E101" s="1"/>
      <c r="F101" s="1"/>
      <c r="G101" s="1"/>
      <c r="H101" s="1"/>
      <c r="I101" s="260"/>
      <c r="J101" s="1"/>
      <c r="K101" s="1"/>
      <c r="L101" s="1"/>
      <c r="M101" s="1"/>
      <c r="N101" s="1"/>
      <c r="O101" s="1"/>
      <c r="P101" s="1"/>
      <c r="Q101" s="1"/>
      <c r="R101" s="273" t="s">
        <v>102</v>
      </c>
      <c r="S101" s="171" t="s">
        <v>119</v>
      </c>
    </row>
    <row r="102" spans="3:19" ht="13.5" thickBot="1">
      <c r="C102" s="1"/>
      <c r="D102" s="2"/>
      <c r="E102" s="1"/>
      <c r="F102" s="1"/>
      <c r="G102" s="1"/>
      <c r="H102" s="1"/>
      <c r="I102" s="260"/>
      <c r="J102" s="1"/>
      <c r="K102" s="1"/>
      <c r="L102" s="1"/>
      <c r="M102" s="1"/>
      <c r="N102" s="1"/>
      <c r="O102" s="1"/>
      <c r="Q102" s="1"/>
      <c r="R102" s="275" t="s">
        <v>186</v>
      </c>
    </row>
    <row r="103" spans="3:19">
      <c r="C103" s="1"/>
      <c r="D103" s="2"/>
      <c r="E103" s="1"/>
      <c r="F103" s="1"/>
      <c r="G103" s="1"/>
      <c r="H103" s="1"/>
      <c r="I103" s="260"/>
      <c r="J103" s="1"/>
      <c r="K103" s="1"/>
      <c r="L103" s="1"/>
      <c r="M103" s="1"/>
      <c r="N103" s="1"/>
      <c r="O103" s="1"/>
      <c r="Q103" s="1"/>
      <c r="R103" s="334" t="s">
        <v>178</v>
      </c>
      <c r="S103" s="335" t="s">
        <v>127</v>
      </c>
    </row>
    <row r="104" spans="3:19">
      <c r="C104" s="1"/>
      <c r="D104" s="2"/>
      <c r="E104" s="1"/>
      <c r="F104" s="1"/>
      <c r="G104" s="1"/>
      <c r="H104" s="1"/>
      <c r="I104" s="260"/>
      <c r="J104" s="1"/>
      <c r="K104" s="1"/>
      <c r="L104" s="1"/>
      <c r="M104" s="1"/>
      <c r="N104" s="1"/>
      <c r="O104" s="1"/>
      <c r="Q104" s="1"/>
      <c r="R104" s="278">
        <v>2025</v>
      </c>
      <c r="S104" s="336" t="s">
        <v>84</v>
      </c>
    </row>
    <row r="105" spans="3:19">
      <c r="C105" s="1"/>
      <c r="D105" s="2"/>
      <c r="E105" s="1"/>
      <c r="F105" s="1"/>
      <c r="G105" s="1"/>
      <c r="H105" s="1"/>
      <c r="I105" s="260"/>
      <c r="J105" s="1"/>
      <c r="K105" s="1"/>
      <c r="L105" s="1"/>
      <c r="M105" s="1"/>
      <c r="N105" s="1"/>
      <c r="O105" s="1"/>
      <c r="Q105" s="1"/>
      <c r="R105" s="337">
        <v>0.105</v>
      </c>
      <c r="S105" s="336" t="s">
        <v>271</v>
      </c>
    </row>
    <row r="106" spans="3:19">
      <c r="C106" s="1"/>
      <c r="D106" s="2"/>
      <c r="E106" s="1"/>
      <c r="F106" s="1"/>
      <c r="G106" s="1"/>
      <c r="H106" s="1"/>
      <c r="I106" s="260"/>
      <c r="J106" s="1"/>
      <c r="K106" s="1"/>
      <c r="L106" s="1"/>
      <c r="M106" s="1"/>
      <c r="N106" s="1"/>
      <c r="O106" s="1"/>
      <c r="Q106" s="1"/>
      <c r="R106" s="338">
        <v>0</v>
      </c>
      <c r="S106" s="336" t="s">
        <v>1</v>
      </c>
    </row>
    <row r="107" spans="3:19">
      <c r="C107" s="1"/>
      <c r="D107" s="2"/>
      <c r="E107" s="1"/>
      <c r="F107" s="1"/>
      <c r="G107" s="1"/>
      <c r="H107" s="1"/>
      <c r="I107" s="260"/>
      <c r="J107" s="1"/>
      <c r="K107" s="1"/>
      <c r="L107" s="1"/>
      <c r="M107" s="1"/>
      <c r="N107" s="1"/>
      <c r="O107" s="1"/>
      <c r="Q107" s="1"/>
      <c r="R107" s="337">
        <v>0.44904655750084377</v>
      </c>
      <c r="S107" s="339" t="s">
        <v>97</v>
      </c>
    </row>
    <row r="108" spans="3:19">
      <c r="C108" s="1"/>
      <c r="D108" s="2"/>
      <c r="E108" s="1"/>
      <c r="F108" s="1"/>
      <c r="G108" s="1"/>
      <c r="H108" s="1"/>
      <c r="I108" s="260"/>
      <c r="J108" s="1"/>
      <c r="K108" s="1"/>
      <c r="L108" s="1"/>
      <c r="M108" s="1"/>
      <c r="N108" s="1"/>
      <c r="O108" s="1"/>
      <c r="Q108" s="1"/>
      <c r="R108" s="340">
        <v>4.4457908955231995E-2</v>
      </c>
      <c r="S108" s="339" t="s">
        <v>98</v>
      </c>
    </row>
    <row r="109" spans="3:19">
      <c r="C109" s="1"/>
      <c r="D109" s="2"/>
      <c r="E109" s="1"/>
      <c r="F109" s="1"/>
      <c r="G109" s="1"/>
      <c r="H109" s="1"/>
      <c r="I109" s="260"/>
      <c r="J109" s="1"/>
      <c r="K109" s="1"/>
      <c r="L109" s="1"/>
      <c r="M109" s="1"/>
      <c r="N109" s="1"/>
      <c r="O109" s="1"/>
      <c r="Q109" s="1"/>
      <c r="R109" s="337">
        <v>0</v>
      </c>
      <c r="S109" s="339" t="s">
        <v>99</v>
      </c>
    </row>
    <row r="110" spans="3:19">
      <c r="C110" s="1"/>
      <c r="D110" s="2"/>
      <c r="E110" s="1"/>
      <c r="F110" s="1"/>
      <c r="G110" s="1"/>
      <c r="H110" s="1"/>
      <c r="I110" s="260"/>
      <c r="J110" s="1"/>
      <c r="K110" s="1"/>
      <c r="L110" s="1"/>
      <c r="M110" s="1"/>
      <c r="N110" s="1"/>
      <c r="O110" s="1"/>
      <c r="Q110" s="1"/>
      <c r="R110" s="340">
        <v>0</v>
      </c>
      <c r="S110" s="339" t="s">
        <v>100</v>
      </c>
    </row>
    <row r="111" spans="3:19">
      <c r="C111" s="1"/>
      <c r="D111" s="2"/>
      <c r="E111" s="1"/>
      <c r="F111" s="1"/>
      <c r="G111" s="1"/>
      <c r="H111" s="1"/>
      <c r="I111" s="260"/>
      <c r="J111" s="1"/>
      <c r="K111" s="1"/>
      <c r="L111" s="1"/>
      <c r="M111" s="1"/>
      <c r="N111" s="1"/>
      <c r="O111" s="1"/>
      <c r="Q111" s="1"/>
      <c r="R111" s="337">
        <v>0.55095344249915623</v>
      </c>
      <c r="S111" s="341" t="s">
        <v>101</v>
      </c>
    </row>
    <row r="112" spans="3:19">
      <c r="C112" s="1"/>
      <c r="D112" s="2"/>
      <c r="E112" s="1"/>
      <c r="F112" s="1"/>
      <c r="G112" s="1"/>
      <c r="H112" s="1"/>
      <c r="I112" s="260"/>
      <c r="J112" s="1"/>
      <c r="K112" s="1"/>
      <c r="L112" s="1"/>
      <c r="M112" s="1"/>
      <c r="N112" s="1"/>
      <c r="O112" s="1"/>
      <c r="Q112" s="1"/>
      <c r="R112" s="289">
        <v>1377974513.8648512</v>
      </c>
      <c r="S112" s="342" t="s">
        <v>272</v>
      </c>
    </row>
    <row r="113" spans="3:19">
      <c r="C113" s="1"/>
      <c r="D113" s="2"/>
      <c r="E113" s="1"/>
      <c r="F113" s="1"/>
      <c r="G113" s="1"/>
      <c r="H113" s="1"/>
      <c r="I113" s="260"/>
      <c r="J113" s="1"/>
      <c r="K113" s="1"/>
      <c r="L113" s="1"/>
      <c r="M113" s="1"/>
      <c r="N113" s="1"/>
      <c r="O113" s="1"/>
      <c r="Q113" s="1"/>
      <c r="R113" s="287">
        <v>0.24041499999999993</v>
      </c>
      <c r="S113" s="336" t="s">
        <v>273</v>
      </c>
    </row>
    <row r="114" spans="3:19">
      <c r="C114" s="1"/>
      <c r="D114" s="2"/>
      <c r="E114" s="1"/>
      <c r="F114" s="1"/>
      <c r="G114" s="1"/>
      <c r="H114" s="1"/>
      <c r="I114" s="260"/>
      <c r="J114" s="1"/>
      <c r="K114" s="1"/>
      <c r="L114" s="1"/>
      <c r="M114" s="1"/>
      <c r="N114" s="1"/>
      <c r="O114" s="1"/>
      <c r="Q114" s="1"/>
      <c r="R114" s="289">
        <v>0</v>
      </c>
      <c r="S114" s="336" t="s">
        <v>274</v>
      </c>
    </row>
    <row r="115" spans="3:19">
      <c r="C115" s="1"/>
      <c r="D115" s="2"/>
      <c r="E115" s="1"/>
      <c r="F115" s="1"/>
      <c r="G115" s="1"/>
      <c r="H115" s="1"/>
      <c r="I115" s="260"/>
      <c r="J115" s="1"/>
      <c r="K115" s="1"/>
      <c r="L115" s="1"/>
      <c r="M115" s="1"/>
      <c r="N115" s="1"/>
      <c r="O115" s="1"/>
      <c r="Q115" s="1"/>
      <c r="R115" s="289">
        <v>-80150.668416198183</v>
      </c>
      <c r="S115" s="336" t="s">
        <v>275</v>
      </c>
    </row>
    <row r="116" spans="3:19">
      <c r="C116" s="1"/>
      <c r="D116" s="2"/>
      <c r="E116" s="1"/>
      <c r="F116" s="1"/>
      <c r="G116" s="1"/>
      <c r="H116" s="1"/>
      <c r="I116" s="260"/>
      <c r="J116" s="1"/>
      <c r="K116" s="1"/>
      <c r="L116" s="1"/>
      <c r="M116" s="1"/>
      <c r="N116" s="1"/>
      <c r="O116" s="1"/>
      <c r="Q116" s="1"/>
      <c r="R116" s="289">
        <v>475793.50303311436</v>
      </c>
      <c r="S116" s="336" t="s">
        <v>276</v>
      </c>
    </row>
    <row r="117" spans="3:19">
      <c r="C117" s="1"/>
      <c r="D117" s="2"/>
      <c r="E117" s="1"/>
      <c r="F117" s="1"/>
      <c r="G117" s="1"/>
      <c r="H117" s="1"/>
      <c r="I117" s="260"/>
      <c r="J117" s="1"/>
      <c r="K117" s="1"/>
      <c r="L117" s="1"/>
      <c r="M117" s="1"/>
      <c r="N117" s="1"/>
      <c r="O117" s="1"/>
      <c r="Q117" s="1"/>
      <c r="R117" s="289">
        <v>228479701.55541688</v>
      </c>
      <c r="S117" s="336" t="s">
        <v>277</v>
      </c>
    </row>
    <row r="118" spans="3:19">
      <c r="C118" s="1"/>
      <c r="D118" s="2"/>
      <c r="E118" s="1"/>
      <c r="F118" s="1"/>
      <c r="G118" s="1"/>
      <c r="H118" s="1"/>
      <c r="I118" s="260"/>
      <c r="J118" s="1"/>
      <c r="K118" s="1"/>
      <c r="L118" s="1"/>
      <c r="M118" s="1"/>
      <c r="N118" s="1"/>
      <c r="O118" s="1"/>
      <c r="Q118" s="1"/>
      <c r="R118" s="289">
        <v>107225409.01933269</v>
      </c>
      <c r="S118" s="336" t="s">
        <v>278</v>
      </c>
    </row>
    <row r="119" spans="3:19">
      <c r="C119" s="1"/>
      <c r="D119" s="2"/>
      <c r="E119" s="1"/>
      <c r="F119" s="1"/>
      <c r="G119" s="1"/>
      <c r="H119" s="1"/>
      <c r="I119" s="260"/>
      <c r="J119" s="1"/>
      <c r="K119" s="1"/>
      <c r="L119" s="1"/>
      <c r="M119" s="1"/>
      <c r="N119" s="1"/>
      <c r="O119" s="1"/>
      <c r="Q119" s="1"/>
      <c r="R119" s="289">
        <v>25626416.407084219</v>
      </c>
      <c r="S119" s="336" t="s">
        <v>279</v>
      </c>
    </row>
    <row r="120" spans="3:19">
      <c r="C120" s="1"/>
      <c r="D120" s="2"/>
      <c r="E120" s="1"/>
      <c r="F120" s="1"/>
      <c r="G120" s="1"/>
      <c r="H120" s="1"/>
      <c r="I120" s="260"/>
      <c r="J120" s="1"/>
      <c r="K120" s="1"/>
      <c r="L120" s="1"/>
      <c r="M120" s="1"/>
      <c r="N120" s="1"/>
      <c r="O120" s="1"/>
      <c r="Q120" s="1"/>
      <c r="R120" s="289">
        <v>0</v>
      </c>
      <c r="S120" s="336" t="s">
        <v>280</v>
      </c>
    </row>
    <row r="121" spans="3:19">
      <c r="C121" s="1"/>
      <c r="D121" s="2"/>
      <c r="E121" s="1"/>
      <c r="F121" s="1"/>
      <c r="G121" s="1"/>
      <c r="H121" s="1"/>
      <c r="I121" s="260"/>
      <c r="J121" s="1"/>
      <c r="K121" s="1"/>
      <c r="L121" s="1"/>
      <c r="M121" s="1"/>
      <c r="N121" s="1"/>
      <c r="O121" s="1"/>
      <c r="Q121" s="1"/>
      <c r="R121" s="289">
        <v>58391913</v>
      </c>
      <c r="S121" s="336" t="s">
        <v>281</v>
      </c>
    </row>
    <row r="122" spans="3:19">
      <c r="C122" s="1"/>
      <c r="D122" s="2"/>
      <c r="E122" s="1"/>
      <c r="F122" s="1"/>
      <c r="G122" s="1"/>
      <c r="H122" s="1"/>
      <c r="I122" s="260"/>
      <c r="J122" s="1"/>
      <c r="K122" s="1"/>
      <c r="L122" s="1"/>
      <c r="M122" s="1"/>
      <c r="N122" s="1"/>
      <c r="O122" s="1"/>
      <c r="Q122" s="1"/>
      <c r="R122" s="287">
        <v>0</v>
      </c>
      <c r="S122" s="336" t="s">
        <v>104</v>
      </c>
    </row>
    <row r="123" spans="3:19">
      <c r="C123" s="1"/>
      <c r="D123" s="2"/>
      <c r="E123" s="1"/>
      <c r="F123" s="1"/>
      <c r="G123" s="1"/>
      <c r="H123" s="1"/>
      <c r="I123" s="260"/>
      <c r="J123" s="1"/>
      <c r="K123" s="1"/>
      <c r="L123" s="1"/>
      <c r="M123" s="1"/>
      <c r="N123" s="1"/>
      <c r="O123" s="1"/>
      <c r="Q123" s="1"/>
      <c r="R123" s="289">
        <v>1512362496.1138458</v>
      </c>
      <c r="S123" s="336" t="s">
        <v>282</v>
      </c>
    </row>
    <row r="124" spans="3:19">
      <c r="C124" s="1"/>
      <c r="D124" s="2"/>
      <c r="E124" s="1"/>
      <c r="F124" s="1"/>
      <c r="G124" s="1"/>
      <c r="H124" s="1"/>
      <c r="I124" s="260"/>
      <c r="J124" s="1"/>
      <c r="K124" s="1"/>
      <c r="L124" s="1"/>
      <c r="M124" s="1"/>
      <c r="N124" s="1"/>
      <c r="O124" s="1"/>
      <c r="Q124" s="1"/>
      <c r="R124" s="287">
        <v>0.11246496061127743</v>
      </c>
      <c r="S124" s="343" t="s">
        <v>283</v>
      </c>
    </row>
    <row r="125" spans="3:19">
      <c r="C125" s="1"/>
      <c r="D125" s="2"/>
      <c r="E125" s="1"/>
      <c r="F125" s="1"/>
      <c r="G125" s="1"/>
      <c r="H125" s="1"/>
      <c r="I125" s="260"/>
      <c r="J125" s="1"/>
      <c r="K125" s="1"/>
      <c r="L125" s="1"/>
      <c r="M125" s="1"/>
      <c r="N125" s="1"/>
      <c r="O125" s="1"/>
      <c r="Q125" s="1"/>
      <c r="R125" s="344">
        <v>1757644027.9499998</v>
      </c>
      <c r="S125" s="1" t="s">
        <v>37</v>
      </c>
    </row>
    <row r="126" spans="3:19">
      <c r="C126" s="1"/>
      <c r="D126" s="2"/>
      <c r="E126" s="1"/>
      <c r="F126" s="1"/>
      <c r="G126" s="1"/>
      <c r="H126" s="1"/>
      <c r="I126" s="260"/>
      <c r="J126" s="1"/>
      <c r="K126" s="1"/>
      <c r="L126" s="1"/>
      <c r="M126" s="1"/>
      <c r="N126" s="1"/>
      <c r="O126" s="1"/>
      <c r="Q126" s="1"/>
      <c r="R126" s="344">
        <v>1984255175.0999992</v>
      </c>
      <c r="S126" s="1" t="s">
        <v>38</v>
      </c>
    </row>
    <row r="127" spans="3:19">
      <c r="C127" s="1"/>
      <c r="D127" s="2"/>
      <c r="E127" s="1"/>
      <c r="F127" s="1"/>
      <c r="G127" s="1"/>
      <c r="H127" s="1"/>
      <c r="I127" s="260"/>
      <c r="J127" s="1"/>
      <c r="K127" s="1"/>
      <c r="L127" s="1"/>
      <c r="M127" s="1"/>
      <c r="N127" s="1"/>
      <c r="O127" s="1"/>
      <c r="Q127" s="1"/>
      <c r="R127" s="344">
        <v>1843823261.0669227</v>
      </c>
      <c r="S127" s="293" t="s">
        <v>321</v>
      </c>
    </row>
    <row r="128" spans="3:19" ht="13.5" thickBot="1">
      <c r="C128" s="1"/>
      <c r="D128" s="2"/>
      <c r="E128" s="1"/>
      <c r="F128" s="1"/>
      <c r="G128" s="1"/>
      <c r="H128" s="1"/>
      <c r="I128" s="260"/>
      <c r="J128" s="1"/>
      <c r="K128" s="1"/>
      <c r="L128" s="1"/>
      <c r="M128" s="1"/>
      <c r="N128" s="1"/>
      <c r="O128" s="1"/>
      <c r="Q128" s="1"/>
      <c r="R128" s="294">
        <v>58391913</v>
      </c>
      <c r="S128" s="345" t="s">
        <v>284</v>
      </c>
    </row>
    <row r="129" spans="3:19">
      <c r="C129" s="1"/>
      <c r="D129" s="2"/>
      <c r="E129" s="1"/>
      <c r="F129" s="1"/>
      <c r="G129" s="1"/>
      <c r="H129" s="1"/>
      <c r="I129" s="260"/>
      <c r="J129" s="1"/>
      <c r="K129" s="1"/>
      <c r="L129" s="1"/>
      <c r="M129" s="1"/>
      <c r="N129" s="1"/>
      <c r="O129" s="1"/>
      <c r="Q129" s="1"/>
      <c r="R129" s="1"/>
      <c r="S129" s="1"/>
    </row>
    <row r="130" spans="3:19">
      <c r="C130" s="1"/>
      <c r="D130" s="2"/>
      <c r="E130" s="1"/>
      <c r="F130" s="1"/>
      <c r="G130" s="1"/>
      <c r="H130" s="1"/>
      <c r="I130" s="260"/>
      <c r="J130" s="1"/>
      <c r="K130" s="1"/>
      <c r="L130" s="1"/>
      <c r="M130" s="1"/>
      <c r="N130" s="1"/>
      <c r="O130" s="1"/>
      <c r="Q130" s="1"/>
      <c r="R130" s="273" t="s">
        <v>103</v>
      </c>
      <c r="S130" s="1" t="s">
        <v>115</v>
      </c>
    </row>
    <row r="131" spans="3:19" ht="13.5" thickBot="1">
      <c r="C131" s="1"/>
      <c r="D131" s="2"/>
      <c r="E131" s="1"/>
      <c r="F131" s="1"/>
      <c r="G131" s="1"/>
      <c r="H131" s="1"/>
      <c r="I131" s="260"/>
      <c r="J131" s="1"/>
      <c r="K131" s="1"/>
      <c r="L131" s="1"/>
      <c r="M131" s="1"/>
      <c r="N131" s="1"/>
      <c r="O131" s="1"/>
      <c r="Q131" s="1"/>
      <c r="R131" s="275" t="s">
        <v>187</v>
      </c>
      <c r="S131" s="1"/>
    </row>
    <row r="132" spans="3:19">
      <c r="C132" s="1"/>
      <c r="D132" s="2"/>
      <c r="E132" s="1"/>
      <c r="F132" s="1"/>
      <c r="G132" s="1"/>
      <c r="H132" s="1"/>
      <c r="I132" s="260"/>
      <c r="J132" s="1"/>
      <c r="K132" s="1"/>
      <c r="L132" s="1"/>
      <c r="M132" s="1"/>
      <c r="N132" s="1"/>
      <c r="O132" s="1"/>
      <c r="Q132" s="1"/>
      <c r="R132" s="297">
        <f>+N17</f>
        <v>40965038.490873612</v>
      </c>
      <c r="S132" t="s">
        <v>120</v>
      </c>
    </row>
    <row r="133" spans="3:19">
      <c r="C133" s="1"/>
      <c r="D133" s="2"/>
      <c r="E133" s="1"/>
      <c r="F133" s="1"/>
      <c r="G133" s="1"/>
      <c r="H133" s="1"/>
      <c r="I133" s="260"/>
      <c r="J133" s="1"/>
      <c r="K133" s="1"/>
      <c r="L133" s="1"/>
      <c r="M133" s="1"/>
      <c r="N133" s="1"/>
      <c r="O133" s="1"/>
      <c r="Q133" s="1"/>
      <c r="R133" s="298">
        <f>+O17</f>
        <v>40965038.490873612</v>
      </c>
      <c r="S133" t="s">
        <v>121</v>
      </c>
    </row>
    <row r="134" spans="3:19">
      <c r="C134" s="1"/>
      <c r="D134" s="2"/>
      <c r="E134" s="1"/>
      <c r="F134" s="1"/>
      <c r="G134" s="1"/>
      <c r="H134" s="1"/>
      <c r="I134" s="260"/>
      <c r="J134" s="1"/>
      <c r="K134" s="1"/>
      <c r="L134" s="1"/>
      <c r="M134" s="1"/>
      <c r="N134" s="1"/>
      <c r="O134" s="1"/>
      <c r="Q134" s="1"/>
      <c r="R134" s="346">
        <f>+N18</f>
        <v>36751797.471310653</v>
      </c>
      <c r="S134" t="s">
        <v>122</v>
      </c>
    </row>
    <row r="135" spans="3:19" ht="13.5" thickBot="1">
      <c r="C135" s="1"/>
      <c r="D135" s="2"/>
      <c r="E135" s="1"/>
      <c r="F135" s="1"/>
      <c r="G135" s="1"/>
      <c r="H135" s="1"/>
      <c r="I135" s="260"/>
      <c r="J135" s="1"/>
      <c r="K135" s="1"/>
      <c r="L135" s="1"/>
      <c r="M135" s="1"/>
      <c r="N135" s="1"/>
      <c r="O135" s="1"/>
      <c r="Q135" s="1"/>
      <c r="R135" s="347">
        <f>+O18</f>
        <v>36751797.471310653</v>
      </c>
      <c r="S135" t="s">
        <v>123</v>
      </c>
    </row>
    <row r="136" spans="3:19">
      <c r="C136" s="1"/>
      <c r="D136" s="2"/>
      <c r="E136" s="1"/>
      <c r="F136" s="1"/>
      <c r="G136" s="1"/>
      <c r="H136" s="1"/>
      <c r="I136" s="260"/>
      <c r="J136" s="1"/>
      <c r="K136" s="1"/>
      <c r="L136" s="1"/>
      <c r="M136" s="1"/>
      <c r="N136" s="1"/>
      <c r="O136" s="1"/>
      <c r="Q136" s="1"/>
      <c r="R136" s="1"/>
      <c r="S136" s="1"/>
    </row>
    <row r="137" spans="3:19">
      <c r="C137" s="1"/>
      <c r="D137" s="2"/>
      <c r="E137" s="1"/>
      <c r="F137" s="1"/>
      <c r="G137" s="1"/>
      <c r="H137" s="1"/>
      <c r="I137" s="260"/>
      <c r="J137" s="1"/>
      <c r="K137" s="1"/>
      <c r="L137" s="1"/>
      <c r="M137" s="1"/>
      <c r="N137" s="1"/>
      <c r="O137" s="1"/>
      <c r="Q137" s="1"/>
      <c r="R137" s="273" t="s">
        <v>113</v>
      </c>
      <c r="S137" s="274" t="s">
        <v>118</v>
      </c>
    </row>
  </sheetData>
  <mergeCells count="7">
    <mergeCell ref="I86:N91"/>
    <mergeCell ref="C8:I8"/>
    <mergeCell ref="A1:K1"/>
    <mergeCell ref="A2:K2"/>
    <mergeCell ref="A3:K3"/>
    <mergeCell ref="A4:K4"/>
    <mergeCell ref="A5:K5"/>
  </mergeCells>
  <phoneticPr fontId="0" type="noConversion"/>
  <printOptions horizontalCentered="1"/>
  <pageMargins left="0.25" right="0.25" top="0.75" bottom="0.25" header="0.25" footer="0.5"/>
  <pageSetup scale="41" fitToHeight="5" orientation="landscape" horizontalDpi="1200" verticalDpi="1200" r:id="rId1"/>
  <headerFooter alignWithMargins="0">
    <oddHeader xml:space="preserve">&amp;R&amp;16AEPTCo - SPP Formula Rate
&amp;A TCOS - WS G
Page: &amp;P of &amp;N
</oddHeader>
    <oddFooter xml:space="preserve">&amp;C &amp;R </oddFooter>
  </headerFooter>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8"/>
  <dimension ref="A1:P163"/>
  <sheetViews>
    <sheetView zoomScaleNormal="100" workbookViewId="0">
      <selection activeCell="P1" sqref="P1"/>
    </sheetView>
  </sheetViews>
  <sheetFormatPr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9.140625" customWidth="1"/>
    <col min="23" max="23" width="9.140625" customWidth="1"/>
  </cols>
  <sheetData>
    <row r="1" spans="1:16" ht="20.25">
      <c r="A1" s="93" t="s">
        <v>189</v>
      </c>
      <c r="B1" s="1"/>
      <c r="C1" s="1"/>
      <c r="D1" s="2"/>
      <c r="E1" s="1"/>
      <c r="F1" s="7"/>
      <c r="G1" s="1"/>
      <c r="H1" s="3"/>
      <c r="K1" s="12"/>
      <c r="L1" s="12"/>
      <c r="M1" s="12"/>
      <c r="P1" s="98" t="str">
        <f ca="1">"OKT Project "&amp;RIGHT(MID(CELL("filename",$A$1),FIND("]",CELL("filename",$A$1))+1,256),2)&amp;" of "&amp;COUNT('OKT.001:OKT.xyz - blank'!$P$3)-1</f>
        <v>OKT Project nk of 26</v>
      </c>
    </row>
    <row r="2" spans="1:16" ht="18">
      <c r="B2" s="1"/>
      <c r="C2" s="1"/>
      <c r="D2" s="2"/>
      <c r="E2" s="1"/>
      <c r="F2" s="1"/>
      <c r="G2" s="1"/>
      <c r="H2" s="3"/>
      <c r="I2" s="1"/>
      <c r="J2" s="1"/>
      <c r="K2" s="1"/>
      <c r="L2" s="1"/>
      <c r="M2" s="1"/>
      <c r="N2" s="1"/>
      <c r="P2" s="99" t="s">
        <v>131</v>
      </c>
    </row>
    <row r="3" spans="1:16" ht="18.75">
      <c r="B3" s="4" t="s">
        <v>42</v>
      </c>
      <c r="C3" s="9" t="s">
        <v>43</v>
      </c>
      <c r="D3" s="2"/>
      <c r="E3" s="1"/>
      <c r="F3" s="1"/>
      <c r="G3" s="1"/>
      <c r="H3" s="3"/>
      <c r="I3" s="3"/>
      <c r="J3" s="13"/>
      <c r="K3" s="3"/>
      <c r="L3" s="3"/>
      <c r="M3" s="3"/>
      <c r="N3" s="3"/>
      <c r="O3" s="1"/>
      <c r="P3" s="91">
        <v>1</v>
      </c>
    </row>
    <row r="4" spans="1:16" ht="15.75" thickBot="1">
      <c r="C4" s="8"/>
      <c r="D4" s="2"/>
      <c r="E4" s="1"/>
      <c r="F4" s="1"/>
      <c r="G4" s="1"/>
      <c r="H4" s="3"/>
      <c r="I4" s="3"/>
      <c r="J4" s="13"/>
      <c r="K4" s="3"/>
      <c r="L4" s="3"/>
      <c r="M4" s="3"/>
      <c r="N4" s="3"/>
      <c r="O4" s="1"/>
      <c r="P4" s="1"/>
    </row>
    <row r="5" spans="1:16" ht="15">
      <c r="C5" s="14" t="s">
        <v>44</v>
      </c>
      <c r="D5" s="2"/>
      <c r="E5" s="1"/>
      <c r="F5" s="1"/>
      <c r="G5" s="15"/>
      <c r="H5" s="1" t="s">
        <v>45</v>
      </c>
      <c r="I5" s="1"/>
      <c r="J5" s="1"/>
      <c r="K5" s="16" t="s">
        <v>242</v>
      </c>
      <c r="L5" s="17"/>
      <c r="M5" s="18"/>
      <c r="N5" s="19">
        <f>VLOOKUP(I10,C17:I73,5)</f>
        <v>0</v>
      </c>
      <c r="P5" s="1"/>
    </row>
    <row r="6" spans="1:16" ht="15.75">
      <c r="C6" s="6"/>
      <c r="D6" s="2"/>
      <c r="E6" s="1"/>
      <c r="F6" s="1"/>
      <c r="G6" s="1"/>
      <c r="H6" s="20"/>
      <c r="I6" s="20"/>
      <c r="J6" s="21"/>
      <c r="K6" s="22" t="s">
        <v>243</v>
      </c>
      <c r="L6" s="23"/>
      <c r="M6" s="1"/>
      <c r="N6" s="24">
        <f>VLOOKUP(I10,C17:I73,6)</f>
        <v>0</v>
      </c>
      <c r="O6" s="1"/>
      <c r="P6" s="1"/>
    </row>
    <row r="7" spans="1:16" ht="13.5" thickBot="1">
      <c r="C7" s="25" t="s">
        <v>46</v>
      </c>
      <c r="D7" s="87" t="s">
        <v>245</v>
      </c>
      <c r="E7" s="1"/>
      <c r="F7" s="1"/>
      <c r="G7" s="1"/>
      <c r="H7" s="3"/>
      <c r="I7" s="3"/>
      <c r="J7" s="13"/>
      <c r="K7" s="26" t="s">
        <v>47</v>
      </c>
      <c r="L7" s="27"/>
      <c r="M7" s="27"/>
      <c r="N7" s="28">
        <f>+N6-N5</f>
        <v>0</v>
      </c>
      <c r="O7" s="1"/>
      <c r="P7" s="1"/>
    </row>
    <row r="8" spans="1:16" ht="13.5" thickBot="1">
      <c r="C8" s="29"/>
      <c r="D8" s="83" t="str">
        <f>IF(D10&lt;100000,"DOES NOT MEET SPP $100,000 MINIMUM INVESTMENT FOR REGIONAL BPU SHARING.","")</f>
        <v>DOES NOT MEET SPP $100,000 MINIMUM INVESTMENT FOR REGIONAL BPU SHARING.</v>
      </c>
      <c r="E8" s="10"/>
      <c r="F8" s="10"/>
      <c r="G8" s="10"/>
      <c r="H8" s="10"/>
      <c r="I8" s="10"/>
      <c r="J8" s="10"/>
      <c r="K8" s="10"/>
      <c r="L8" s="10"/>
      <c r="M8" s="10"/>
      <c r="N8" s="10"/>
      <c r="O8" s="10"/>
      <c r="P8" s="1"/>
    </row>
    <row r="9" spans="1:16" ht="13.5" thickBot="1">
      <c r="C9" s="30" t="s">
        <v>48</v>
      </c>
      <c r="D9" s="89" t="s">
        <v>78</v>
      </c>
      <c r="E9" s="31"/>
      <c r="F9" s="31"/>
      <c r="G9" s="31"/>
      <c r="H9" s="31"/>
      <c r="I9" s="32"/>
      <c r="J9" s="33"/>
      <c r="P9" s="1"/>
    </row>
    <row r="10" spans="1:16">
      <c r="C10" s="34" t="s">
        <v>49</v>
      </c>
      <c r="D10" s="35">
        <v>0</v>
      </c>
      <c r="E10" s="1" t="s">
        <v>50</v>
      </c>
      <c r="G10" s="2"/>
      <c r="H10" s="2"/>
      <c r="I10" s="36">
        <f>+'OKT.WS.F.BPU.ATRR.Projected'!R100</f>
        <v>2025</v>
      </c>
      <c r="J10" s="33"/>
      <c r="K10" s="13" t="s">
        <v>51</v>
      </c>
      <c r="O10" s="1"/>
      <c r="P10" s="1"/>
    </row>
    <row r="11" spans="1:16">
      <c r="C11" s="34" t="s">
        <v>52</v>
      </c>
      <c r="D11" s="37">
        <v>2018</v>
      </c>
      <c r="E11" s="34" t="s">
        <v>53</v>
      </c>
      <c r="F11" s="2"/>
      <c r="I11" s="38">
        <f>IF(G5="",0,'OKT.WS.F.BPU.ATRR.Projected'!F$13)</f>
        <v>0</v>
      </c>
      <c r="J11" s="39"/>
      <c r="K11" t="str">
        <f>"          INPUT PROJECTED ARR (WITH &amp; WITHOUT INCENTIVES) FROM EACH PRIOR YEAR"</f>
        <v xml:space="preserve">          INPUT PROJECTED ARR (WITH &amp; WITHOUT INCENTIVES) FROM EACH PRIOR YEAR</v>
      </c>
      <c r="O11" s="1"/>
      <c r="P11" s="1"/>
    </row>
    <row r="12" spans="1:16">
      <c r="C12" s="34" t="s">
        <v>54</v>
      </c>
      <c r="D12" s="35">
        <v>4</v>
      </c>
      <c r="E12" s="34" t="s">
        <v>55</v>
      </c>
      <c r="F12" s="2"/>
      <c r="I12" s="40">
        <f>'OKT.WS.F.BPU.ATRR.Projected'!$F$78</f>
        <v>0.11444992740144029</v>
      </c>
      <c r="J12" s="7"/>
      <c r="K12" t="s">
        <v>56</v>
      </c>
      <c r="O12" s="1"/>
      <c r="P12" s="1"/>
    </row>
    <row r="13" spans="1:16">
      <c r="C13" s="34" t="s">
        <v>57</v>
      </c>
      <c r="D13" s="38">
        <f>+'OKT.WS.F.BPU.ATRR.Projected'!F$89</f>
        <v>30</v>
      </c>
      <c r="E13" s="34" t="s">
        <v>58</v>
      </c>
      <c r="F13" s="2"/>
      <c r="I13" s="40">
        <f>IF(G5="",I12,'OKT.WS.F.BPU.ATRR.Projected'!$F$77)</f>
        <v>0.11444992740144029</v>
      </c>
      <c r="J13" s="7"/>
      <c r="K13" s="13" t="s">
        <v>59</v>
      </c>
      <c r="L13" s="7"/>
      <c r="M13" s="7"/>
      <c r="N13" s="7"/>
      <c r="O13" s="1"/>
      <c r="P13" s="1"/>
    </row>
    <row r="14" spans="1:16" ht="13.5" thickBot="1">
      <c r="C14" s="34" t="s">
        <v>60</v>
      </c>
      <c r="D14" s="37" t="s">
        <v>61</v>
      </c>
      <c r="E14" s="1" t="s">
        <v>62</v>
      </c>
      <c r="F14" s="2"/>
      <c r="I14" s="41">
        <f>IF(D10=0,0,D10/D13)</f>
        <v>0</v>
      </c>
      <c r="J14" s="13"/>
      <c r="K14" s="13"/>
      <c r="L14" s="13"/>
      <c r="M14" s="13"/>
      <c r="N14" s="13"/>
      <c r="O14" s="1"/>
      <c r="P14" s="1"/>
    </row>
    <row r="15" spans="1:16" ht="38.25">
      <c r="C15" s="42" t="s">
        <v>49</v>
      </c>
      <c r="D15" s="115" t="s">
        <v>193</v>
      </c>
      <c r="E15" s="43" t="s">
        <v>63</v>
      </c>
      <c r="F15" s="43" t="s">
        <v>64</v>
      </c>
      <c r="G15" s="125" t="s">
        <v>251</v>
      </c>
      <c r="H15" s="126" t="s">
        <v>252</v>
      </c>
      <c r="I15" s="42" t="s">
        <v>65</v>
      </c>
      <c r="J15" s="44"/>
      <c r="K15" s="115" t="s">
        <v>176</v>
      </c>
      <c r="L15" s="116" t="s">
        <v>66</v>
      </c>
      <c r="M15" s="115" t="s">
        <v>176</v>
      </c>
      <c r="N15" s="116" t="s">
        <v>66</v>
      </c>
      <c r="O15" s="45" t="s">
        <v>67</v>
      </c>
      <c r="P15" s="1"/>
    </row>
    <row r="16" spans="1:16" ht="13.5" thickBot="1">
      <c r="C16" s="46" t="s">
        <v>68</v>
      </c>
      <c r="D16" s="122" t="s">
        <v>69</v>
      </c>
      <c r="E16" s="46" t="s">
        <v>70</v>
      </c>
      <c r="F16" s="46" t="s">
        <v>69</v>
      </c>
      <c r="G16" s="124" t="s">
        <v>71</v>
      </c>
      <c r="H16" s="47" t="s">
        <v>72</v>
      </c>
      <c r="I16" s="46" t="s">
        <v>93</v>
      </c>
      <c r="J16" s="44" t="s">
        <v>73</v>
      </c>
      <c r="K16" s="48" t="s">
        <v>74</v>
      </c>
      <c r="L16" s="117" t="s">
        <v>74</v>
      </c>
      <c r="M16" s="48" t="s">
        <v>94</v>
      </c>
      <c r="N16" s="118" t="s">
        <v>94</v>
      </c>
      <c r="O16" s="48" t="s">
        <v>94</v>
      </c>
      <c r="P16" s="1"/>
    </row>
    <row r="17" spans="2:16">
      <c r="B17" t="str">
        <f t="shared" ref="B17:B71" si="0">IF(D17=F16,"","IU")</f>
        <v>IU</v>
      </c>
      <c r="C17" s="49">
        <f>IF(D11= "","-",D11)</f>
        <v>2018</v>
      </c>
      <c r="D17" s="11">
        <v>0</v>
      </c>
      <c r="E17" s="50">
        <f>IF(D10&gt;=100000,I$14/12*(12-D12),0)</f>
        <v>0</v>
      </c>
      <c r="F17" s="54">
        <f>IF(D11=C17,+D10-E17,+D17-E17)</f>
        <v>0</v>
      </c>
      <c r="G17" s="50">
        <f>(D17+F17)/2*I$12+E17</f>
        <v>0</v>
      </c>
      <c r="H17" s="41">
        <f>+(D17+F17)/2*I$13+E17</f>
        <v>0</v>
      </c>
      <c r="I17" s="51">
        <f t="shared" ref="I17:I48" si="1">H17-G17</f>
        <v>0</v>
      </c>
      <c r="J17" s="51"/>
      <c r="K17" s="114"/>
      <c r="L17" s="52">
        <f t="shared" ref="L17:L48" si="2">IF(K17&lt;&gt;0,+G17-K17,0)</f>
        <v>0</v>
      </c>
      <c r="M17" s="114"/>
      <c r="N17" s="52">
        <f t="shared" ref="N17:N48" si="3">IF(M17&lt;&gt;0,+H17-M17,0)</f>
        <v>0</v>
      </c>
      <c r="O17" s="53">
        <f t="shared" ref="O17:O48" si="4">+N17-L17</f>
        <v>0</v>
      </c>
      <c r="P17" s="1"/>
    </row>
    <row r="18" spans="2:16">
      <c r="B18" t="str">
        <f t="shared" si="0"/>
        <v/>
      </c>
      <c r="C18" s="49">
        <f>IF(D11="","-",+C17+1)</f>
        <v>2019</v>
      </c>
      <c r="D18" s="54">
        <f>IF(F17+SUM(E$17:E17)=D$10,F17,D$10-SUM(E$17:E17))</f>
        <v>0</v>
      </c>
      <c r="E18" s="55">
        <f t="shared" ref="E18:E49" si="5">IF(+I$14&lt;F17,I$14,D18)</f>
        <v>0</v>
      </c>
      <c r="F18" s="54">
        <f t="shared" ref="F18:F48" si="6">+D18-E18</f>
        <v>0</v>
      </c>
      <c r="G18" s="56">
        <f t="shared" ref="G18:G71" si="7">(D18+F18)/2*I$12+E18</f>
        <v>0</v>
      </c>
      <c r="H18" s="41">
        <f t="shared" ref="H18:H71" si="8">+(D18+F18)/2*I$13+E18</f>
        <v>0</v>
      </c>
      <c r="I18" s="51">
        <f t="shared" si="1"/>
        <v>0</v>
      </c>
      <c r="J18" s="51"/>
      <c r="K18" s="112"/>
      <c r="L18" s="53">
        <f t="shared" si="2"/>
        <v>0</v>
      </c>
      <c r="M18" s="112"/>
      <c r="N18" s="53">
        <f t="shared" si="3"/>
        <v>0</v>
      </c>
      <c r="O18" s="53">
        <f t="shared" si="4"/>
        <v>0</v>
      </c>
      <c r="P18" s="1"/>
    </row>
    <row r="19" spans="2:16">
      <c r="B19" t="str">
        <f t="shared" si="0"/>
        <v/>
      </c>
      <c r="C19" s="49">
        <f>IF(D11="","-",+C18+1)</f>
        <v>2020</v>
      </c>
      <c r="D19" s="54">
        <f>IF(F18+SUM(E$17:E18)=D$10,F18,D$10-SUM(E$17:E18))</f>
        <v>0</v>
      </c>
      <c r="E19" s="55">
        <f t="shared" si="5"/>
        <v>0</v>
      </c>
      <c r="F19" s="54">
        <f t="shared" si="6"/>
        <v>0</v>
      </c>
      <c r="G19" s="56">
        <f t="shared" si="7"/>
        <v>0</v>
      </c>
      <c r="H19" s="41">
        <f t="shared" si="8"/>
        <v>0</v>
      </c>
      <c r="I19" s="51">
        <f t="shared" si="1"/>
        <v>0</v>
      </c>
      <c r="J19" s="51"/>
      <c r="K19" s="112"/>
      <c r="L19" s="53">
        <f t="shared" si="2"/>
        <v>0</v>
      </c>
      <c r="M19" s="112"/>
      <c r="N19" s="53">
        <f t="shared" si="3"/>
        <v>0</v>
      </c>
      <c r="O19" s="53">
        <f t="shared" si="4"/>
        <v>0</v>
      </c>
      <c r="P19" s="1"/>
    </row>
    <row r="20" spans="2:16">
      <c r="B20" t="str">
        <f t="shared" si="0"/>
        <v/>
      </c>
      <c r="C20" s="49">
        <f>IF(D11="","-",+C19+1)</f>
        <v>2021</v>
      </c>
      <c r="D20" s="54">
        <f>IF(F19+SUM(E$17:E19)=D$10,F19,D$10-SUM(E$17:E19))</f>
        <v>0</v>
      </c>
      <c r="E20" s="55">
        <f t="shared" si="5"/>
        <v>0</v>
      </c>
      <c r="F20" s="54">
        <f t="shared" si="6"/>
        <v>0</v>
      </c>
      <c r="G20" s="56">
        <f t="shared" si="7"/>
        <v>0</v>
      </c>
      <c r="H20" s="41">
        <f t="shared" si="8"/>
        <v>0</v>
      </c>
      <c r="I20" s="51">
        <f t="shared" si="1"/>
        <v>0</v>
      </c>
      <c r="J20" s="51"/>
      <c r="K20" s="112"/>
      <c r="L20" s="53">
        <f t="shared" si="2"/>
        <v>0</v>
      </c>
      <c r="M20" s="112"/>
      <c r="N20" s="53">
        <f t="shared" si="3"/>
        <v>0</v>
      </c>
      <c r="O20" s="53">
        <f t="shared" si="4"/>
        <v>0</v>
      </c>
      <c r="P20" s="1"/>
    </row>
    <row r="21" spans="2:16">
      <c r="B21" t="str">
        <f t="shared" si="0"/>
        <v/>
      </c>
      <c r="C21" s="49">
        <f>IF(D11="","-",+C20+1)</f>
        <v>2022</v>
      </c>
      <c r="D21" s="54">
        <f>IF(F20+SUM(E$17:E20)=D$10,F20,D$10-SUM(E$17:E20))</f>
        <v>0</v>
      </c>
      <c r="E21" s="55">
        <f t="shared" si="5"/>
        <v>0</v>
      </c>
      <c r="F21" s="54">
        <f t="shared" si="6"/>
        <v>0</v>
      </c>
      <c r="G21" s="56">
        <f t="shared" si="7"/>
        <v>0</v>
      </c>
      <c r="H21" s="41">
        <f t="shared" si="8"/>
        <v>0</v>
      </c>
      <c r="I21" s="51">
        <f t="shared" si="1"/>
        <v>0</v>
      </c>
      <c r="J21" s="51"/>
      <c r="K21" s="112"/>
      <c r="L21" s="53">
        <f t="shared" si="2"/>
        <v>0</v>
      </c>
      <c r="M21" s="112"/>
      <c r="N21" s="53">
        <f t="shared" si="3"/>
        <v>0</v>
      </c>
      <c r="O21" s="53">
        <f t="shared" si="4"/>
        <v>0</v>
      </c>
      <c r="P21" s="1"/>
    </row>
    <row r="22" spans="2:16">
      <c r="B22" t="str">
        <f t="shared" si="0"/>
        <v/>
      </c>
      <c r="C22" s="49">
        <f>IF(D11="","-",+C21+1)</f>
        <v>2023</v>
      </c>
      <c r="D22" s="54">
        <f>IF(F21+SUM(E$17:E21)=D$10,F21,D$10-SUM(E$17:E21))</f>
        <v>0</v>
      </c>
      <c r="E22" s="55">
        <f t="shared" si="5"/>
        <v>0</v>
      </c>
      <c r="F22" s="54">
        <f t="shared" si="6"/>
        <v>0</v>
      </c>
      <c r="G22" s="56">
        <f t="shared" si="7"/>
        <v>0</v>
      </c>
      <c r="H22" s="41">
        <f t="shared" si="8"/>
        <v>0</v>
      </c>
      <c r="I22" s="51">
        <f t="shared" si="1"/>
        <v>0</v>
      </c>
      <c r="J22" s="51"/>
      <c r="K22" s="112"/>
      <c r="L22" s="53">
        <f t="shared" si="2"/>
        <v>0</v>
      </c>
      <c r="M22" s="112"/>
      <c r="N22" s="53">
        <f t="shared" si="3"/>
        <v>0</v>
      </c>
      <c r="O22" s="53">
        <f t="shared" si="4"/>
        <v>0</v>
      </c>
      <c r="P22" s="1"/>
    </row>
    <row r="23" spans="2:16">
      <c r="B23" t="str">
        <f t="shared" si="0"/>
        <v/>
      </c>
      <c r="C23" s="49">
        <f>IF(D11="","-",+C22+1)</f>
        <v>2024</v>
      </c>
      <c r="D23" s="54">
        <f>IF(F22+SUM(E$17:E22)=D$10,F22,D$10-SUM(E$17:E22))</f>
        <v>0</v>
      </c>
      <c r="E23" s="55">
        <f t="shared" si="5"/>
        <v>0</v>
      </c>
      <c r="F23" s="54">
        <f t="shared" si="6"/>
        <v>0</v>
      </c>
      <c r="G23" s="56">
        <f t="shared" si="7"/>
        <v>0</v>
      </c>
      <c r="H23" s="41">
        <f t="shared" si="8"/>
        <v>0</v>
      </c>
      <c r="I23" s="51">
        <f t="shared" si="1"/>
        <v>0</v>
      </c>
      <c r="J23" s="51"/>
      <c r="K23" s="112"/>
      <c r="L23" s="53">
        <f t="shared" si="2"/>
        <v>0</v>
      </c>
      <c r="M23" s="112"/>
      <c r="N23" s="53">
        <f t="shared" si="3"/>
        <v>0</v>
      </c>
      <c r="O23" s="53">
        <f t="shared" si="4"/>
        <v>0</v>
      </c>
      <c r="P23" s="1"/>
    </row>
    <row r="24" spans="2:16">
      <c r="B24" t="str">
        <f t="shared" si="0"/>
        <v/>
      </c>
      <c r="C24" s="49">
        <f>IF(D11="","-",+C23+1)</f>
        <v>2025</v>
      </c>
      <c r="D24" s="54">
        <f>IF(F23+SUM(E$17:E23)=D$10,F23,D$10-SUM(E$17:E23))</f>
        <v>0</v>
      </c>
      <c r="E24" s="55">
        <f t="shared" si="5"/>
        <v>0</v>
      </c>
      <c r="F24" s="54">
        <f t="shared" si="6"/>
        <v>0</v>
      </c>
      <c r="G24" s="56">
        <f t="shared" si="7"/>
        <v>0</v>
      </c>
      <c r="H24" s="41">
        <f t="shared" si="8"/>
        <v>0</v>
      </c>
      <c r="I24" s="51">
        <f t="shared" si="1"/>
        <v>0</v>
      </c>
      <c r="J24" s="51"/>
      <c r="K24" s="112"/>
      <c r="L24" s="53">
        <f t="shared" si="2"/>
        <v>0</v>
      </c>
      <c r="M24" s="112"/>
      <c r="N24" s="53">
        <f t="shared" si="3"/>
        <v>0</v>
      </c>
      <c r="O24" s="53">
        <f t="shared" si="4"/>
        <v>0</v>
      </c>
      <c r="P24" s="1"/>
    </row>
    <row r="25" spans="2:16">
      <c r="B25" t="str">
        <f t="shared" si="0"/>
        <v/>
      </c>
      <c r="C25" s="49">
        <f>IF(D11="","-",+C24+1)</f>
        <v>2026</v>
      </c>
      <c r="D25" s="54">
        <f>IF(F24+SUM(E$17:E24)=D$10,F24,D$10-SUM(E$17:E24))</f>
        <v>0</v>
      </c>
      <c r="E25" s="55">
        <f t="shared" si="5"/>
        <v>0</v>
      </c>
      <c r="F25" s="54">
        <f t="shared" si="6"/>
        <v>0</v>
      </c>
      <c r="G25" s="56">
        <f t="shared" si="7"/>
        <v>0</v>
      </c>
      <c r="H25" s="41">
        <f t="shared" si="8"/>
        <v>0</v>
      </c>
      <c r="I25" s="51">
        <f t="shared" si="1"/>
        <v>0</v>
      </c>
      <c r="J25" s="51"/>
      <c r="K25" s="112"/>
      <c r="L25" s="53">
        <f t="shared" si="2"/>
        <v>0</v>
      </c>
      <c r="M25" s="112"/>
      <c r="N25" s="53">
        <f t="shared" si="3"/>
        <v>0</v>
      </c>
      <c r="O25" s="53">
        <f t="shared" si="4"/>
        <v>0</v>
      </c>
      <c r="P25" s="1"/>
    </row>
    <row r="26" spans="2:16">
      <c r="B26" t="str">
        <f t="shared" si="0"/>
        <v/>
      </c>
      <c r="C26" s="49">
        <f>IF(D11="","-",+C25+1)</f>
        <v>2027</v>
      </c>
      <c r="D26" s="54">
        <f>IF(F25+SUM(E$17:E25)=D$10,F25,D$10-SUM(E$17:E25))</f>
        <v>0</v>
      </c>
      <c r="E26" s="55">
        <f t="shared" si="5"/>
        <v>0</v>
      </c>
      <c r="F26" s="54">
        <f t="shared" si="6"/>
        <v>0</v>
      </c>
      <c r="G26" s="56">
        <f t="shared" si="7"/>
        <v>0</v>
      </c>
      <c r="H26" s="41">
        <f t="shared" si="8"/>
        <v>0</v>
      </c>
      <c r="I26" s="51">
        <f t="shared" si="1"/>
        <v>0</v>
      </c>
      <c r="J26" s="51"/>
      <c r="K26" s="112"/>
      <c r="L26" s="53">
        <f t="shared" si="2"/>
        <v>0</v>
      </c>
      <c r="M26" s="112"/>
      <c r="N26" s="53">
        <f t="shared" si="3"/>
        <v>0</v>
      </c>
      <c r="O26" s="53">
        <f t="shared" si="4"/>
        <v>0</v>
      </c>
      <c r="P26" s="1"/>
    </row>
    <row r="27" spans="2:16">
      <c r="B27" t="str">
        <f t="shared" si="0"/>
        <v/>
      </c>
      <c r="C27" s="49">
        <f>IF(D11="","-",+C26+1)</f>
        <v>2028</v>
      </c>
      <c r="D27" s="54">
        <f>IF(F26+SUM(E$17:E26)=D$10,F26,D$10-SUM(E$17:E26))</f>
        <v>0</v>
      </c>
      <c r="E27" s="55">
        <f t="shared" si="5"/>
        <v>0</v>
      </c>
      <c r="F27" s="54">
        <f t="shared" si="6"/>
        <v>0</v>
      </c>
      <c r="G27" s="56">
        <f t="shared" si="7"/>
        <v>0</v>
      </c>
      <c r="H27" s="41">
        <f t="shared" si="8"/>
        <v>0</v>
      </c>
      <c r="I27" s="51">
        <f t="shared" si="1"/>
        <v>0</v>
      </c>
      <c r="J27" s="51"/>
      <c r="K27" s="112"/>
      <c r="L27" s="53">
        <f t="shared" si="2"/>
        <v>0</v>
      </c>
      <c r="M27" s="112"/>
      <c r="N27" s="53">
        <f t="shared" si="3"/>
        <v>0</v>
      </c>
      <c r="O27" s="53">
        <f t="shared" si="4"/>
        <v>0</v>
      </c>
      <c r="P27" s="1"/>
    </row>
    <row r="28" spans="2:16">
      <c r="B28" t="str">
        <f t="shared" si="0"/>
        <v/>
      </c>
      <c r="C28" s="49">
        <f>IF(D11="","-",+C27+1)</f>
        <v>2029</v>
      </c>
      <c r="D28" s="54">
        <f>IF(F27+SUM(E$17:E27)=D$10,F27,D$10-SUM(E$17:E27))</f>
        <v>0</v>
      </c>
      <c r="E28" s="55">
        <f t="shared" si="5"/>
        <v>0</v>
      </c>
      <c r="F28" s="54">
        <f t="shared" si="6"/>
        <v>0</v>
      </c>
      <c r="G28" s="56">
        <f t="shared" si="7"/>
        <v>0</v>
      </c>
      <c r="H28" s="41">
        <f t="shared" si="8"/>
        <v>0</v>
      </c>
      <c r="I28" s="51">
        <f t="shared" si="1"/>
        <v>0</v>
      </c>
      <c r="J28" s="51"/>
      <c r="K28" s="112"/>
      <c r="L28" s="53">
        <f t="shared" si="2"/>
        <v>0</v>
      </c>
      <c r="M28" s="112"/>
      <c r="N28" s="53">
        <f t="shared" si="3"/>
        <v>0</v>
      </c>
      <c r="O28" s="53">
        <f t="shared" si="4"/>
        <v>0</v>
      </c>
      <c r="P28" s="1"/>
    </row>
    <row r="29" spans="2:16">
      <c r="B29" t="str">
        <f t="shared" si="0"/>
        <v/>
      </c>
      <c r="C29" s="49">
        <f>IF(D11="","-",+C28+1)</f>
        <v>2030</v>
      </c>
      <c r="D29" s="54">
        <f>IF(F28+SUM(E$17:E28)=D$10,F28,D$10-SUM(E$17:E28))</f>
        <v>0</v>
      </c>
      <c r="E29" s="55">
        <f t="shared" si="5"/>
        <v>0</v>
      </c>
      <c r="F29" s="54">
        <f t="shared" si="6"/>
        <v>0</v>
      </c>
      <c r="G29" s="56">
        <f t="shared" si="7"/>
        <v>0</v>
      </c>
      <c r="H29" s="41">
        <f t="shared" si="8"/>
        <v>0</v>
      </c>
      <c r="I29" s="51">
        <f t="shared" si="1"/>
        <v>0</v>
      </c>
      <c r="J29" s="51"/>
      <c r="K29" s="112"/>
      <c r="L29" s="53">
        <f t="shared" si="2"/>
        <v>0</v>
      </c>
      <c r="M29" s="112"/>
      <c r="N29" s="53">
        <f t="shared" si="3"/>
        <v>0</v>
      </c>
      <c r="O29" s="53">
        <f t="shared" si="4"/>
        <v>0</v>
      </c>
      <c r="P29" s="1"/>
    </row>
    <row r="30" spans="2:16">
      <c r="B30" t="str">
        <f t="shared" si="0"/>
        <v/>
      </c>
      <c r="C30" s="49">
        <f>IF(D11="","-",+C29+1)</f>
        <v>2031</v>
      </c>
      <c r="D30" s="54">
        <f>IF(F29+SUM(E$17:E29)=D$10,F29,D$10-SUM(E$17:E29))</f>
        <v>0</v>
      </c>
      <c r="E30" s="55">
        <f t="shared" si="5"/>
        <v>0</v>
      </c>
      <c r="F30" s="54">
        <f t="shared" si="6"/>
        <v>0</v>
      </c>
      <c r="G30" s="56">
        <f t="shared" si="7"/>
        <v>0</v>
      </c>
      <c r="H30" s="41">
        <f t="shared" si="8"/>
        <v>0</v>
      </c>
      <c r="I30" s="51">
        <f t="shared" si="1"/>
        <v>0</v>
      </c>
      <c r="J30" s="51"/>
      <c r="K30" s="112"/>
      <c r="L30" s="53">
        <f t="shared" si="2"/>
        <v>0</v>
      </c>
      <c r="M30" s="112"/>
      <c r="N30" s="53">
        <f t="shared" si="3"/>
        <v>0</v>
      </c>
      <c r="O30" s="53">
        <f t="shared" si="4"/>
        <v>0</v>
      </c>
      <c r="P30" s="1"/>
    </row>
    <row r="31" spans="2:16">
      <c r="B31" t="str">
        <f t="shared" si="0"/>
        <v/>
      </c>
      <c r="C31" s="49">
        <f>IF(D11="","-",+C30+1)</f>
        <v>2032</v>
      </c>
      <c r="D31" s="54">
        <f>IF(F30+SUM(E$17:E30)=D$10,F30,D$10-SUM(E$17:E30))</f>
        <v>0</v>
      </c>
      <c r="E31" s="55">
        <f t="shared" si="5"/>
        <v>0</v>
      </c>
      <c r="F31" s="54">
        <f t="shared" si="6"/>
        <v>0</v>
      </c>
      <c r="G31" s="56">
        <f t="shared" si="7"/>
        <v>0</v>
      </c>
      <c r="H31" s="41">
        <f t="shared" si="8"/>
        <v>0</v>
      </c>
      <c r="I31" s="51">
        <f t="shared" si="1"/>
        <v>0</v>
      </c>
      <c r="J31" s="51"/>
      <c r="K31" s="112"/>
      <c r="L31" s="53">
        <f t="shared" si="2"/>
        <v>0</v>
      </c>
      <c r="M31" s="112"/>
      <c r="N31" s="53">
        <f t="shared" si="3"/>
        <v>0</v>
      </c>
      <c r="O31" s="53">
        <f t="shared" si="4"/>
        <v>0</v>
      </c>
      <c r="P31" s="1"/>
    </row>
    <row r="32" spans="2:16">
      <c r="B32" t="str">
        <f t="shared" si="0"/>
        <v/>
      </c>
      <c r="C32" s="49">
        <f>IF(D11="","-",+C31+1)</f>
        <v>2033</v>
      </c>
      <c r="D32" s="54">
        <f>IF(F31+SUM(E$17:E31)=D$10,F31,D$10-SUM(E$17:E31))</f>
        <v>0</v>
      </c>
      <c r="E32" s="55">
        <f t="shared" si="5"/>
        <v>0</v>
      </c>
      <c r="F32" s="54">
        <f t="shared" si="6"/>
        <v>0</v>
      </c>
      <c r="G32" s="56">
        <f t="shared" si="7"/>
        <v>0</v>
      </c>
      <c r="H32" s="41">
        <f t="shared" si="8"/>
        <v>0</v>
      </c>
      <c r="I32" s="51">
        <f t="shared" si="1"/>
        <v>0</v>
      </c>
      <c r="J32" s="51"/>
      <c r="K32" s="112"/>
      <c r="L32" s="53">
        <f t="shared" si="2"/>
        <v>0</v>
      </c>
      <c r="M32" s="112"/>
      <c r="N32" s="53">
        <f t="shared" si="3"/>
        <v>0</v>
      </c>
      <c r="O32" s="53">
        <f t="shared" si="4"/>
        <v>0</v>
      </c>
      <c r="P32" s="1"/>
    </row>
    <row r="33" spans="2:16">
      <c r="B33" t="str">
        <f t="shared" si="0"/>
        <v/>
      </c>
      <c r="C33" s="49">
        <f>IF(D11="","-",+C32+1)</f>
        <v>2034</v>
      </c>
      <c r="D33" s="54">
        <f>IF(F32+SUM(E$17:E32)=D$10,F32,D$10-SUM(E$17:E32))</f>
        <v>0</v>
      </c>
      <c r="E33" s="55">
        <f t="shared" si="5"/>
        <v>0</v>
      </c>
      <c r="F33" s="54">
        <f t="shared" si="6"/>
        <v>0</v>
      </c>
      <c r="G33" s="56">
        <f t="shared" si="7"/>
        <v>0</v>
      </c>
      <c r="H33" s="41">
        <f t="shared" si="8"/>
        <v>0</v>
      </c>
      <c r="I33" s="51">
        <f t="shared" si="1"/>
        <v>0</v>
      </c>
      <c r="J33" s="51"/>
      <c r="K33" s="112"/>
      <c r="L33" s="53">
        <f t="shared" si="2"/>
        <v>0</v>
      </c>
      <c r="M33" s="112"/>
      <c r="N33" s="53">
        <f t="shared" si="3"/>
        <v>0</v>
      </c>
      <c r="O33" s="53">
        <f t="shared" si="4"/>
        <v>0</v>
      </c>
      <c r="P33" s="1"/>
    </row>
    <row r="34" spans="2:16">
      <c r="B34" t="str">
        <f t="shared" si="0"/>
        <v/>
      </c>
      <c r="C34" s="49">
        <f>IF(D11="","-",+C33+1)</f>
        <v>2035</v>
      </c>
      <c r="D34" s="54">
        <f>IF(F33+SUM(E$17:E33)=D$10,F33,D$10-SUM(E$17:E33))</f>
        <v>0</v>
      </c>
      <c r="E34" s="55">
        <f t="shared" si="5"/>
        <v>0</v>
      </c>
      <c r="F34" s="54">
        <f t="shared" si="6"/>
        <v>0</v>
      </c>
      <c r="G34" s="56">
        <f t="shared" si="7"/>
        <v>0</v>
      </c>
      <c r="H34" s="41">
        <f t="shared" si="8"/>
        <v>0</v>
      </c>
      <c r="I34" s="51">
        <f t="shared" si="1"/>
        <v>0</v>
      </c>
      <c r="J34" s="51"/>
      <c r="K34" s="112"/>
      <c r="L34" s="53">
        <f t="shared" si="2"/>
        <v>0</v>
      </c>
      <c r="M34" s="112"/>
      <c r="N34" s="53">
        <f t="shared" si="3"/>
        <v>0</v>
      </c>
      <c r="O34" s="53">
        <f t="shared" si="4"/>
        <v>0</v>
      </c>
      <c r="P34" s="1"/>
    </row>
    <row r="35" spans="2:16">
      <c r="B35" t="str">
        <f t="shared" si="0"/>
        <v/>
      </c>
      <c r="C35" s="49">
        <f>IF(D11="","-",+C34+1)</f>
        <v>2036</v>
      </c>
      <c r="D35" s="54">
        <f>IF(F34+SUM(E$17:E34)=D$10,F34,D$10-SUM(E$17:E34))</f>
        <v>0</v>
      </c>
      <c r="E35" s="55">
        <f t="shared" si="5"/>
        <v>0</v>
      </c>
      <c r="F35" s="54">
        <f t="shared" si="6"/>
        <v>0</v>
      </c>
      <c r="G35" s="56">
        <f t="shared" si="7"/>
        <v>0</v>
      </c>
      <c r="H35" s="41">
        <f t="shared" si="8"/>
        <v>0</v>
      </c>
      <c r="I35" s="51">
        <f t="shared" si="1"/>
        <v>0</v>
      </c>
      <c r="J35" s="51"/>
      <c r="K35" s="112"/>
      <c r="L35" s="53">
        <f t="shared" si="2"/>
        <v>0</v>
      </c>
      <c r="M35" s="112"/>
      <c r="N35" s="53">
        <f t="shared" si="3"/>
        <v>0</v>
      </c>
      <c r="O35" s="53">
        <f t="shared" si="4"/>
        <v>0</v>
      </c>
      <c r="P35" s="1"/>
    </row>
    <row r="36" spans="2:16">
      <c r="B36" t="str">
        <f t="shared" si="0"/>
        <v/>
      </c>
      <c r="C36" s="49">
        <f>IF(D11="","-",+C35+1)</f>
        <v>2037</v>
      </c>
      <c r="D36" s="54">
        <f>IF(F35+SUM(E$17:E35)=D$10,F35,D$10-SUM(E$17:E35))</f>
        <v>0</v>
      </c>
      <c r="E36" s="55">
        <f t="shared" si="5"/>
        <v>0</v>
      </c>
      <c r="F36" s="54">
        <f t="shared" si="6"/>
        <v>0</v>
      </c>
      <c r="G36" s="56">
        <f t="shared" si="7"/>
        <v>0</v>
      </c>
      <c r="H36" s="41">
        <f t="shared" si="8"/>
        <v>0</v>
      </c>
      <c r="I36" s="51">
        <f t="shared" si="1"/>
        <v>0</v>
      </c>
      <c r="J36" s="51"/>
      <c r="K36" s="112"/>
      <c r="L36" s="53">
        <f t="shared" si="2"/>
        <v>0</v>
      </c>
      <c r="M36" s="112"/>
      <c r="N36" s="53">
        <f t="shared" si="3"/>
        <v>0</v>
      </c>
      <c r="O36" s="53">
        <f t="shared" si="4"/>
        <v>0</v>
      </c>
      <c r="P36" s="1"/>
    </row>
    <row r="37" spans="2:16">
      <c r="B37" t="str">
        <f t="shared" si="0"/>
        <v/>
      </c>
      <c r="C37" s="49">
        <f>IF(D11="","-",+C36+1)</f>
        <v>2038</v>
      </c>
      <c r="D37" s="54">
        <f>IF(F36+SUM(E$17:E36)=D$10,F36,D$10-SUM(E$17:E36))</f>
        <v>0</v>
      </c>
      <c r="E37" s="55">
        <f t="shared" si="5"/>
        <v>0</v>
      </c>
      <c r="F37" s="54">
        <f t="shared" si="6"/>
        <v>0</v>
      </c>
      <c r="G37" s="56">
        <f t="shared" si="7"/>
        <v>0</v>
      </c>
      <c r="H37" s="41">
        <f t="shared" si="8"/>
        <v>0</v>
      </c>
      <c r="I37" s="51">
        <f t="shared" si="1"/>
        <v>0</v>
      </c>
      <c r="J37" s="51"/>
      <c r="K37" s="112"/>
      <c r="L37" s="53">
        <f t="shared" si="2"/>
        <v>0</v>
      </c>
      <c r="M37" s="112"/>
      <c r="N37" s="53">
        <f t="shared" si="3"/>
        <v>0</v>
      </c>
      <c r="O37" s="53">
        <f t="shared" si="4"/>
        <v>0</v>
      </c>
      <c r="P37" s="1"/>
    </row>
    <row r="38" spans="2:16">
      <c r="B38" t="str">
        <f t="shared" si="0"/>
        <v/>
      </c>
      <c r="C38" s="49">
        <f>IF(D11="","-",+C37+1)</f>
        <v>2039</v>
      </c>
      <c r="D38" s="54">
        <f>IF(F37+SUM(E$17:E37)=D$10,F37,D$10-SUM(E$17:E37))</f>
        <v>0</v>
      </c>
      <c r="E38" s="55">
        <f t="shared" si="5"/>
        <v>0</v>
      </c>
      <c r="F38" s="54">
        <f t="shared" si="6"/>
        <v>0</v>
      </c>
      <c r="G38" s="56">
        <f t="shared" si="7"/>
        <v>0</v>
      </c>
      <c r="H38" s="41">
        <f t="shared" si="8"/>
        <v>0</v>
      </c>
      <c r="I38" s="51">
        <f t="shared" si="1"/>
        <v>0</v>
      </c>
      <c r="J38" s="51"/>
      <c r="K38" s="112"/>
      <c r="L38" s="53">
        <f t="shared" si="2"/>
        <v>0</v>
      </c>
      <c r="M38" s="112"/>
      <c r="N38" s="53">
        <f t="shared" si="3"/>
        <v>0</v>
      </c>
      <c r="O38" s="53">
        <f t="shared" si="4"/>
        <v>0</v>
      </c>
      <c r="P38" s="1"/>
    </row>
    <row r="39" spans="2:16">
      <c r="B39" t="str">
        <f t="shared" si="0"/>
        <v/>
      </c>
      <c r="C39" s="49">
        <f>IF(D11="","-",+C38+1)</f>
        <v>2040</v>
      </c>
      <c r="D39" s="54">
        <f>IF(F38+SUM(E$17:E38)=D$10,F38,D$10-SUM(E$17:E38))</f>
        <v>0</v>
      </c>
      <c r="E39" s="55">
        <f t="shared" si="5"/>
        <v>0</v>
      </c>
      <c r="F39" s="54">
        <f t="shared" si="6"/>
        <v>0</v>
      </c>
      <c r="G39" s="56">
        <f t="shared" si="7"/>
        <v>0</v>
      </c>
      <c r="H39" s="41">
        <f t="shared" si="8"/>
        <v>0</v>
      </c>
      <c r="I39" s="51">
        <f t="shared" si="1"/>
        <v>0</v>
      </c>
      <c r="J39" s="51"/>
      <c r="K39" s="112"/>
      <c r="L39" s="53">
        <f t="shared" si="2"/>
        <v>0</v>
      </c>
      <c r="M39" s="112"/>
      <c r="N39" s="53">
        <f t="shared" si="3"/>
        <v>0</v>
      </c>
      <c r="O39" s="53">
        <f t="shared" si="4"/>
        <v>0</v>
      </c>
      <c r="P39" s="1"/>
    </row>
    <row r="40" spans="2:16">
      <c r="B40" t="str">
        <f t="shared" si="0"/>
        <v/>
      </c>
      <c r="C40" s="49">
        <f>IF(D11="","-",+C39+1)</f>
        <v>2041</v>
      </c>
      <c r="D40" s="54">
        <f>IF(F39+SUM(E$17:E39)=D$10,F39,D$10-SUM(E$17:E39))</f>
        <v>0</v>
      </c>
      <c r="E40" s="55">
        <f t="shared" si="5"/>
        <v>0</v>
      </c>
      <c r="F40" s="54">
        <f t="shared" si="6"/>
        <v>0</v>
      </c>
      <c r="G40" s="56">
        <f t="shared" si="7"/>
        <v>0</v>
      </c>
      <c r="H40" s="41">
        <f t="shared" si="8"/>
        <v>0</v>
      </c>
      <c r="I40" s="51">
        <f t="shared" si="1"/>
        <v>0</v>
      </c>
      <c r="J40" s="51"/>
      <c r="K40" s="112"/>
      <c r="L40" s="53">
        <f t="shared" si="2"/>
        <v>0</v>
      </c>
      <c r="M40" s="112"/>
      <c r="N40" s="53">
        <f t="shared" si="3"/>
        <v>0</v>
      </c>
      <c r="O40" s="53">
        <f t="shared" si="4"/>
        <v>0</v>
      </c>
      <c r="P40" s="1"/>
    </row>
    <row r="41" spans="2:16">
      <c r="B41" t="str">
        <f t="shared" si="0"/>
        <v/>
      </c>
      <c r="C41" s="49">
        <f>IF(D11="","-",+C40+1)</f>
        <v>2042</v>
      </c>
      <c r="D41" s="54">
        <f>IF(F40+SUM(E$17:E40)=D$10,F40,D$10-SUM(E$17:E40))</f>
        <v>0</v>
      </c>
      <c r="E41" s="55">
        <f t="shared" si="5"/>
        <v>0</v>
      </c>
      <c r="F41" s="54">
        <f t="shared" si="6"/>
        <v>0</v>
      </c>
      <c r="G41" s="56">
        <f t="shared" si="7"/>
        <v>0</v>
      </c>
      <c r="H41" s="41">
        <f t="shared" si="8"/>
        <v>0</v>
      </c>
      <c r="I41" s="51">
        <f t="shared" si="1"/>
        <v>0</v>
      </c>
      <c r="J41" s="51"/>
      <c r="K41" s="112"/>
      <c r="L41" s="53">
        <f t="shared" si="2"/>
        <v>0</v>
      </c>
      <c r="M41" s="112"/>
      <c r="N41" s="53">
        <f t="shared" si="3"/>
        <v>0</v>
      </c>
      <c r="O41" s="53">
        <f t="shared" si="4"/>
        <v>0</v>
      </c>
      <c r="P41" s="1"/>
    </row>
    <row r="42" spans="2:16">
      <c r="B42" t="str">
        <f t="shared" si="0"/>
        <v/>
      </c>
      <c r="C42" s="49">
        <f>IF(D11="","-",+C41+1)</f>
        <v>2043</v>
      </c>
      <c r="D42" s="54">
        <f>IF(F41+SUM(E$17:E41)=D$10,F41,D$10-SUM(E$17:E41))</f>
        <v>0</v>
      </c>
      <c r="E42" s="55">
        <f t="shared" si="5"/>
        <v>0</v>
      </c>
      <c r="F42" s="54">
        <f t="shared" si="6"/>
        <v>0</v>
      </c>
      <c r="G42" s="56">
        <f t="shared" si="7"/>
        <v>0</v>
      </c>
      <c r="H42" s="41">
        <f t="shared" si="8"/>
        <v>0</v>
      </c>
      <c r="I42" s="51">
        <f t="shared" si="1"/>
        <v>0</v>
      </c>
      <c r="J42" s="51"/>
      <c r="K42" s="112"/>
      <c r="L42" s="53">
        <f t="shared" si="2"/>
        <v>0</v>
      </c>
      <c r="M42" s="112"/>
      <c r="N42" s="53">
        <f t="shared" si="3"/>
        <v>0</v>
      </c>
      <c r="O42" s="53">
        <f t="shared" si="4"/>
        <v>0</v>
      </c>
      <c r="P42" s="1"/>
    </row>
    <row r="43" spans="2:16">
      <c r="B43" t="str">
        <f t="shared" si="0"/>
        <v/>
      </c>
      <c r="C43" s="49">
        <f>IF(D11="","-",+C42+1)</f>
        <v>2044</v>
      </c>
      <c r="D43" s="54">
        <f>IF(F42+SUM(E$17:E42)=D$10,F42,D$10-SUM(E$17:E42))</f>
        <v>0</v>
      </c>
      <c r="E43" s="55">
        <f t="shared" si="5"/>
        <v>0</v>
      </c>
      <c r="F43" s="54">
        <f t="shared" si="6"/>
        <v>0</v>
      </c>
      <c r="G43" s="56">
        <f t="shared" si="7"/>
        <v>0</v>
      </c>
      <c r="H43" s="41">
        <f t="shared" si="8"/>
        <v>0</v>
      </c>
      <c r="I43" s="51">
        <f t="shared" si="1"/>
        <v>0</v>
      </c>
      <c r="J43" s="51"/>
      <c r="K43" s="112"/>
      <c r="L43" s="53">
        <f t="shared" si="2"/>
        <v>0</v>
      </c>
      <c r="M43" s="112"/>
      <c r="N43" s="53">
        <f t="shared" si="3"/>
        <v>0</v>
      </c>
      <c r="O43" s="53">
        <f t="shared" si="4"/>
        <v>0</v>
      </c>
      <c r="P43" s="1"/>
    </row>
    <row r="44" spans="2:16">
      <c r="B44" t="str">
        <f t="shared" si="0"/>
        <v/>
      </c>
      <c r="C44" s="49">
        <f>IF(D11="","-",+C43+1)</f>
        <v>2045</v>
      </c>
      <c r="D44" s="54">
        <f>IF(F43+SUM(E$17:E43)=D$10,F43,D$10-SUM(E$17:E43))</f>
        <v>0</v>
      </c>
      <c r="E44" s="55">
        <f t="shared" si="5"/>
        <v>0</v>
      </c>
      <c r="F44" s="54">
        <f t="shared" si="6"/>
        <v>0</v>
      </c>
      <c r="G44" s="56">
        <f t="shared" si="7"/>
        <v>0</v>
      </c>
      <c r="H44" s="41">
        <f t="shared" si="8"/>
        <v>0</v>
      </c>
      <c r="I44" s="51">
        <f t="shared" si="1"/>
        <v>0</v>
      </c>
      <c r="J44" s="51"/>
      <c r="K44" s="112"/>
      <c r="L44" s="53">
        <f t="shared" si="2"/>
        <v>0</v>
      </c>
      <c r="M44" s="112"/>
      <c r="N44" s="53">
        <f t="shared" si="3"/>
        <v>0</v>
      </c>
      <c r="O44" s="53">
        <f t="shared" si="4"/>
        <v>0</v>
      </c>
      <c r="P44" s="1"/>
    </row>
    <row r="45" spans="2:16">
      <c r="B45" t="str">
        <f t="shared" si="0"/>
        <v/>
      </c>
      <c r="C45" s="49">
        <f>IF(D11="","-",+C44+1)</f>
        <v>2046</v>
      </c>
      <c r="D45" s="54">
        <f>IF(F44+SUM(E$17:E44)=D$10,F44,D$10-SUM(E$17:E44))</f>
        <v>0</v>
      </c>
      <c r="E45" s="55">
        <f t="shared" si="5"/>
        <v>0</v>
      </c>
      <c r="F45" s="54">
        <f t="shared" si="6"/>
        <v>0</v>
      </c>
      <c r="G45" s="56">
        <f t="shared" si="7"/>
        <v>0</v>
      </c>
      <c r="H45" s="41">
        <f t="shared" si="8"/>
        <v>0</v>
      </c>
      <c r="I45" s="51">
        <f t="shared" si="1"/>
        <v>0</v>
      </c>
      <c r="J45" s="51"/>
      <c r="K45" s="112"/>
      <c r="L45" s="53">
        <f t="shared" si="2"/>
        <v>0</v>
      </c>
      <c r="M45" s="112"/>
      <c r="N45" s="53">
        <f t="shared" si="3"/>
        <v>0</v>
      </c>
      <c r="O45" s="53">
        <f t="shared" si="4"/>
        <v>0</v>
      </c>
      <c r="P45" s="1"/>
    </row>
    <row r="46" spans="2:16">
      <c r="B46" t="str">
        <f t="shared" si="0"/>
        <v/>
      </c>
      <c r="C46" s="49">
        <f>IF(D11="","-",+C45+1)</f>
        <v>2047</v>
      </c>
      <c r="D46" s="54">
        <f>IF(F45+SUM(E$17:E45)=D$10,F45,D$10-SUM(E$17:E45))</f>
        <v>0</v>
      </c>
      <c r="E46" s="55">
        <f t="shared" si="5"/>
        <v>0</v>
      </c>
      <c r="F46" s="54">
        <f t="shared" si="6"/>
        <v>0</v>
      </c>
      <c r="G46" s="56">
        <f t="shared" si="7"/>
        <v>0</v>
      </c>
      <c r="H46" s="41">
        <f t="shared" si="8"/>
        <v>0</v>
      </c>
      <c r="I46" s="51">
        <f t="shared" si="1"/>
        <v>0</v>
      </c>
      <c r="J46" s="51"/>
      <c r="K46" s="112"/>
      <c r="L46" s="53">
        <f t="shared" si="2"/>
        <v>0</v>
      </c>
      <c r="M46" s="112"/>
      <c r="N46" s="53">
        <f t="shared" si="3"/>
        <v>0</v>
      </c>
      <c r="O46" s="53">
        <f t="shared" si="4"/>
        <v>0</v>
      </c>
      <c r="P46" s="1"/>
    </row>
    <row r="47" spans="2:16">
      <c r="B47" t="str">
        <f t="shared" si="0"/>
        <v/>
      </c>
      <c r="C47" s="49">
        <f>IF(D11="","-",+C46+1)</f>
        <v>2048</v>
      </c>
      <c r="D47" s="54">
        <f>IF(F46+SUM(E$17:E46)=D$10,F46,D$10-SUM(E$17:E46))</f>
        <v>0</v>
      </c>
      <c r="E47" s="55">
        <f t="shared" si="5"/>
        <v>0</v>
      </c>
      <c r="F47" s="54">
        <f t="shared" si="6"/>
        <v>0</v>
      </c>
      <c r="G47" s="56">
        <f t="shared" si="7"/>
        <v>0</v>
      </c>
      <c r="H47" s="41">
        <f t="shared" si="8"/>
        <v>0</v>
      </c>
      <c r="I47" s="51">
        <f t="shared" si="1"/>
        <v>0</v>
      </c>
      <c r="J47" s="51"/>
      <c r="K47" s="112"/>
      <c r="L47" s="53">
        <f t="shared" si="2"/>
        <v>0</v>
      </c>
      <c r="M47" s="112"/>
      <c r="N47" s="53">
        <f t="shared" si="3"/>
        <v>0</v>
      </c>
      <c r="O47" s="53">
        <f t="shared" si="4"/>
        <v>0</v>
      </c>
      <c r="P47" s="1"/>
    </row>
    <row r="48" spans="2:16">
      <c r="B48" t="str">
        <f t="shared" si="0"/>
        <v/>
      </c>
      <c r="C48" s="49">
        <f>IF(D11="","-",+C47+1)</f>
        <v>2049</v>
      </c>
      <c r="D48" s="54">
        <f>IF(F47+SUM(E$17:E47)=D$10,F47,D$10-SUM(E$17:E47))</f>
        <v>0</v>
      </c>
      <c r="E48" s="55">
        <f t="shared" si="5"/>
        <v>0</v>
      </c>
      <c r="F48" s="54">
        <f t="shared" si="6"/>
        <v>0</v>
      </c>
      <c r="G48" s="56">
        <f t="shared" si="7"/>
        <v>0</v>
      </c>
      <c r="H48" s="41">
        <f t="shared" si="8"/>
        <v>0</v>
      </c>
      <c r="I48" s="51">
        <f t="shared" si="1"/>
        <v>0</v>
      </c>
      <c r="J48" s="51"/>
      <c r="K48" s="112"/>
      <c r="L48" s="53">
        <f t="shared" si="2"/>
        <v>0</v>
      </c>
      <c r="M48" s="112"/>
      <c r="N48" s="53">
        <f t="shared" si="3"/>
        <v>0</v>
      </c>
      <c r="O48" s="53">
        <f t="shared" si="4"/>
        <v>0</v>
      </c>
      <c r="P48" s="1"/>
    </row>
    <row r="49" spans="2:16">
      <c r="B49" t="str">
        <f t="shared" si="0"/>
        <v/>
      </c>
      <c r="C49" s="49">
        <f>IF(D11="","-",+C48+1)</f>
        <v>2050</v>
      </c>
      <c r="D49" s="54">
        <f>IF(F48+SUM(E$17:E48)=D$10,F48,D$10-SUM(E$17:E48))</f>
        <v>0</v>
      </c>
      <c r="E49" s="55">
        <f t="shared" si="5"/>
        <v>0</v>
      </c>
      <c r="F49" s="54">
        <f t="shared" ref="F49:F71" si="9">+D49-E49</f>
        <v>0</v>
      </c>
      <c r="G49" s="56">
        <f t="shared" si="7"/>
        <v>0</v>
      </c>
      <c r="H49" s="41">
        <f t="shared" si="8"/>
        <v>0</v>
      </c>
      <c r="I49" s="51">
        <f t="shared" ref="I49:I71" si="10">H49-G49</f>
        <v>0</v>
      </c>
      <c r="J49" s="51"/>
      <c r="K49" s="112"/>
      <c r="L49" s="53">
        <f t="shared" ref="L49:L71" si="11">IF(K49&lt;&gt;0,+G49-K49,0)</f>
        <v>0</v>
      </c>
      <c r="M49" s="112"/>
      <c r="N49" s="53">
        <f t="shared" ref="N49:N71" si="12">IF(M49&lt;&gt;0,+H49-M49,0)</f>
        <v>0</v>
      </c>
      <c r="O49" s="53">
        <f t="shared" ref="O49:O71" si="13">+N49-L49</f>
        <v>0</v>
      </c>
      <c r="P49" s="1"/>
    </row>
    <row r="50" spans="2:16">
      <c r="B50" t="str">
        <f t="shared" si="0"/>
        <v/>
      </c>
      <c r="C50" s="49">
        <f>IF(D11="","-",+C49+1)</f>
        <v>2051</v>
      </c>
      <c r="D50" s="54">
        <f>IF(F49+SUM(E$17:E49)=D$10,F49,D$10-SUM(E$17:E49))</f>
        <v>0</v>
      </c>
      <c r="E50" s="55">
        <f t="shared" ref="E50:E71" si="14">IF(+I$14&lt;F49,I$14,D50)</f>
        <v>0</v>
      </c>
      <c r="F50" s="54">
        <f t="shared" si="9"/>
        <v>0</v>
      </c>
      <c r="G50" s="56">
        <f t="shared" si="7"/>
        <v>0</v>
      </c>
      <c r="H50" s="41">
        <f t="shared" si="8"/>
        <v>0</v>
      </c>
      <c r="I50" s="51">
        <f t="shared" si="10"/>
        <v>0</v>
      </c>
      <c r="J50" s="51"/>
      <c r="K50" s="112"/>
      <c r="L50" s="53">
        <f t="shared" si="11"/>
        <v>0</v>
      </c>
      <c r="M50" s="112"/>
      <c r="N50" s="53">
        <f t="shared" si="12"/>
        <v>0</v>
      </c>
      <c r="O50" s="53">
        <f t="shared" si="13"/>
        <v>0</v>
      </c>
      <c r="P50" s="1"/>
    </row>
    <row r="51" spans="2:16">
      <c r="B51" t="str">
        <f t="shared" si="0"/>
        <v/>
      </c>
      <c r="C51" s="49">
        <f>IF(D11="","-",+C50+1)</f>
        <v>2052</v>
      </c>
      <c r="D51" s="54">
        <f>IF(F50+SUM(E$17:E50)=D$10,F50,D$10-SUM(E$17:E50))</f>
        <v>0</v>
      </c>
      <c r="E51" s="55">
        <f t="shared" si="14"/>
        <v>0</v>
      </c>
      <c r="F51" s="54">
        <f t="shared" si="9"/>
        <v>0</v>
      </c>
      <c r="G51" s="56">
        <f t="shared" si="7"/>
        <v>0</v>
      </c>
      <c r="H51" s="41">
        <f t="shared" si="8"/>
        <v>0</v>
      </c>
      <c r="I51" s="51">
        <f t="shared" si="10"/>
        <v>0</v>
      </c>
      <c r="J51" s="51"/>
      <c r="K51" s="112"/>
      <c r="L51" s="53">
        <f t="shared" si="11"/>
        <v>0</v>
      </c>
      <c r="M51" s="112"/>
      <c r="N51" s="53">
        <f t="shared" si="12"/>
        <v>0</v>
      </c>
      <c r="O51" s="53">
        <f t="shared" si="13"/>
        <v>0</v>
      </c>
      <c r="P51" s="1"/>
    </row>
    <row r="52" spans="2:16">
      <c r="B52" t="str">
        <f t="shared" si="0"/>
        <v/>
      </c>
      <c r="C52" s="49">
        <f>IF(D11="","-",+C51+1)</f>
        <v>2053</v>
      </c>
      <c r="D52" s="54">
        <f>IF(F51+SUM(E$17:E51)=D$10,F51,D$10-SUM(E$17:E51))</f>
        <v>0</v>
      </c>
      <c r="E52" s="55">
        <f t="shared" si="14"/>
        <v>0</v>
      </c>
      <c r="F52" s="54">
        <f t="shared" si="9"/>
        <v>0</v>
      </c>
      <c r="G52" s="56">
        <f t="shared" si="7"/>
        <v>0</v>
      </c>
      <c r="H52" s="41">
        <f t="shared" si="8"/>
        <v>0</v>
      </c>
      <c r="I52" s="51">
        <f t="shared" si="10"/>
        <v>0</v>
      </c>
      <c r="J52" s="51"/>
      <c r="K52" s="112"/>
      <c r="L52" s="53">
        <f t="shared" si="11"/>
        <v>0</v>
      </c>
      <c r="M52" s="112"/>
      <c r="N52" s="53">
        <f t="shared" si="12"/>
        <v>0</v>
      </c>
      <c r="O52" s="53">
        <f t="shared" si="13"/>
        <v>0</v>
      </c>
      <c r="P52" s="1"/>
    </row>
    <row r="53" spans="2:16">
      <c r="B53" t="str">
        <f t="shared" si="0"/>
        <v/>
      </c>
      <c r="C53" s="49">
        <f>IF(D11="","-",+C52+1)</f>
        <v>2054</v>
      </c>
      <c r="D53" s="54">
        <f>IF(F52+SUM(E$17:E52)=D$10,F52,D$10-SUM(E$17:E52))</f>
        <v>0</v>
      </c>
      <c r="E53" s="55">
        <f t="shared" si="14"/>
        <v>0</v>
      </c>
      <c r="F53" s="54">
        <f t="shared" si="9"/>
        <v>0</v>
      </c>
      <c r="G53" s="56">
        <f t="shared" si="7"/>
        <v>0</v>
      </c>
      <c r="H53" s="41">
        <f t="shared" si="8"/>
        <v>0</v>
      </c>
      <c r="I53" s="51">
        <f t="shared" si="10"/>
        <v>0</v>
      </c>
      <c r="J53" s="51"/>
      <c r="K53" s="112"/>
      <c r="L53" s="53">
        <f t="shared" si="11"/>
        <v>0</v>
      </c>
      <c r="M53" s="112"/>
      <c r="N53" s="53">
        <f t="shared" si="12"/>
        <v>0</v>
      </c>
      <c r="O53" s="53">
        <f t="shared" si="13"/>
        <v>0</v>
      </c>
      <c r="P53" s="1"/>
    </row>
    <row r="54" spans="2:16">
      <c r="B54" t="str">
        <f t="shared" si="0"/>
        <v/>
      </c>
      <c r="C54" s="49">
        <f>IF(D11="","-",+C53+1)</f>
        <v>2055</v>
      </c>
      <c r="D54" s="54">
        <f>IF(F53+SUM(E$17:E53)=D$10,F53,D$10-SUM(E$17:E53))</f>
        <v>0</v>
      </c>
      <c r="E54" s="55">
        <f t="shared" si="14"/>
        <v>0</v>
      </c>
      <c r="F54" s="54">
        <f t="shared" si="9"/>
        <v>0</v>
      </c>
      <c r="G54" s="56">
        <f t="shared" si="7"/>
        <v>0</v>
      </c>
      <c r="H54" s="41">
        <f t="shared" si="8"/>
        <v>0</v>
      </c>
      <c r="I54" s="51">
        <f t="shared" si="10"/>
        <v>0</v>
      </c>
      <c r="J54" s="51"/>
      <c r="K54" s="112"/>
      <c r="L54" s="53">
        <f t="shared" si="11"/>
        <v>0</v>
      </c>
      <c r="M54" s="112"/>
      <c r="N54" s="53">
        <f t="shared" si="12"/>
        <v>0</v>
      </c>
      <c r="O54" s="53">
        <f t="shared" si="13"/>
        <v>0</v>
      </c>
      <c r="P54" s="1"/>
    </row>
    <row r="55" spans="2:16">
      <c r="B55" t="str">
        <f t="shared" si="0"/>
        <v/>
      </c>
      <c r="C55" s="49">
        <f>IF(D11="","-",+C54+1)</f>
        <v>2056</v>
      </c>
      <c r="D55" s="54">
        <f>IF(F54+SUM(E$17:E54)=D$10,F54,D$10-SUM(E$17:E54))</f>
        <v>0</v>
      </c>
      <c r="E55" s="55">
        <f t="shared" si="14"/>
        <v>0</v>
      </c>
      <c r="F55" s="54">
        <f t="shared" si="9"/>
        <v>0</v>
      </c>
      <c r="G55" s="56">
        <f t="shared" si="7"/>
        <v>0</v>
      </c>
      <c r="H55" s="41">
        <f t="shared" si="8"/>
        <v>0</v>
      </c>
      <c r="I55" s="51">
        <f t="shared" si="10"/>
        <v>0</v>
      </c>
      <c r="J55" s="51"/>
      <c r="K55" s="112"/>
      <c r="L55" s="53">
        <f t="shared" si="11"/>
        <v>0</v>
      </c>
      <c r="M55" s="112"/>
      <c r="N55" s="53">
        <f t="shared" si="12"/>
        <v>0</v>
      </c>
      <c r="O55" s="53">
        <f t="shared" si="13"/>
        <v>0</v>
      </c>
      <c r="P55" s="1"/>
    </row>
    <row r="56" spans="2:16">
      <c r="B56" t="str">
        <f t="shared" si="0"/>
        <v/>
      </c>
      <c r="C56" s="49">
        <f>IF(D11="","-",+C55+1)</f>
        <v>2057</v>
      </c>
      <c r="D56" s="54">
        <f>IF(F55+SUM(E$17:E55)=D$10,F55,D$10-SUM(E$17:E55))</f>
        <v>0</v>
      </c>
      <c r="E56" s="55">
        <f t="shared" si="14"/>
        <v>0</v>
      </c>
      <c r="F56" s="54">
        <f t="shared" si="9"/>
        <v>0</v>
      </c>
      <c r="G56" s="56">
        <f t="shared" si="7"/>
        <v>0</v>
      </c>
      <c r="H56" s="41">
        <f t="shared" si="8"/>
        <v>0</v>
      </c>
      <c r="I56" s="51">
        <f t="shared" si="10"/>
        <v>0</v>
      </c>
      <c r="J56" s="51"/>
      <c r="K56" s="112"/>
      <c r="L56" s="53">
        <f t="shared" si="11"/>
        <v>0</v>
      </c>
      <c r="M56" s="112"/>
      <c r="N56" s="53">
        <f t="shared" si="12"/>
        <v>0</v>
      </c>
      <c r="O56" s="53">
        <f t="shared" si="13"/>
        <v>0</v>
      </c>
      <c r="P56" s="1"/>
    </row>
    <row r="57" spans="2:16">
      <c r="B57" t="str">
        <f t="shared" si="0"/>
        <v/>
      </c>
      <c r="C57" s="49">
        <f>IF(D11="","-",+C56+1)</f>
        <v>2058</v>
      </c>
      <c r="D57" s="54">
        <f>IF(F56+SUM(E$17:E56)=D$10,F56,D$10-SUM(E$17:E56))</f>
        <v>0</v>
      </c>
      <c r="E57" s="55">
        <f t="shared" si="14"/>
        <v>0</v>
      </c>
      <c r="F57" s="54">
        <f t="shared" si="9"/>
        <v>0</v>
      </c>
      <c r="G57" s="56">
        <f t="shared" si="7"/>
        <v>0</v>
      </c>
      <c r="H57" s="41">
        <f t="shared" si="8"/>
        <v>0</v>
      </c>
      <c r="I57" s="51">
        <f t="shared" si="10"/>
        <v>0</v>
      </c>
      <c r="J57" s="51"/>
      <c r="K57" s="112"/>
      <c r="L57" s="53">
        <f t="shared" si="11"/>
        <v>0</v>
      </c>
      <c r="M57" s="112"/>
      <c r="N57" s="53">
        <f t="shared" si="12"/>
        <v>0</v>
      </c>
      <c r="O57" s="53">
        <f t="shared" si="13"/>
        <v>0</v>
      </c>
      <c r="P57" s="1"/>
    </row>
    <row r="58" spans="2:16">
      <c r="B58" t="str">
        <f t="shared" si="0"/>
        <v/>
      </c>
      <c r="C58" s="49">
        <f>IF(D11="","-",+C57+1)</f>
        <v>2059</v>
      </c>
      <c r="D58" s="54">
        <f>IF(F57+SUM(E$17:E57)=D$10,F57,D$10-SUM(E$17:E57))</f>
        <v>0</v>
      </c>
      <c r="E58" s="55">
        <f t="shared" si="14"/>
        <v>0</v>
      </c>
      <c r="F58" s="54">
        <f t="shared" si="9"/>
        <v>0</v>
      </c>
      <c r="G58" s="56">
        <f t="shared" si="7"/>
        <v>0</v>
      </c>
      <c r="H58" s="41">
        <f t="shared" si="8"/>
        <v>0</v>
      </c>
      <c r="I58" s="51">
        <f t="shared" si="10"/>
        <v>0</v>
      </c>
      <c r="J58" s="51"/>
      <c r="K58" s="112"/>
      <c r="L58" s="53">
        <f t="shared" si="11"/>
        <v>0</v>
      </c>
      <c r="M58" s="112"/>
      <c r="N58" s="53">
        <f t="shared" si="12"/>
        <v>0</v>
      </c>
      <c r="O58" s="53">
        <f t="shared" si="13"/>
        <v>0</v>
      </c>
      <c r="P58" s="1"/>
    </row>
    <row r="59" spans="2:16">
      <c r="B59" t="str">
        <f t="shared" si="0"/>
        <v/>
      </c>
      <c r="C59" s="49">
        <f>IF(D11="","-",+C58+1)</f>
        <v>2060</v>
      </c>
      <c r="D59" s="54">
        <f>IF(F58+SUM(E$17:E58)=D$10,F58,D$10-SUM(E$17:E58))</f>
        <v>0</v>
      </c>
      <c r="E59" s="55">
        <f t="shared" si="14"/>
        <v>0</v>
      </c>
      <c r="F59" s="54">
        <f t="shared" si="9"/>
        <v>0</v>
      </c>
      <c r="G59" s="56">
        <f t="shared" si="7"/>
        <v>0</v>
      </c>
      <c r="H59" s="41">
        <f t="shared" si="8"/>
        <v>0</v>
      </c>
      <c r="I59" s="51">
        <f t="shared" si="10"/>
        <v>0</v>
      </c>
      <c r="J59" s="51"/>
      <c r="K59" s="112"/>
      <c r="L59" s="53">
        <f t="shared" si="11"/>
        <v>0</v>
      </c>
      <c r="M59" s="112"/>
      <c r="N59" s="53">
        <f t="shared" si="12"/>
        <v>0</v>
      </c>
      <c r="O59" s="53">
        <f t="shared" si="13"/>
        <v>0</v>
      </c>
      <c r="P59" s="1"/>
    </row>
    <row r="60" spans="2:16">
      <c r="B60" t="str">
        <f t="shared" si="0"/>
        <v/>
      </c>
      <c r="C60" s="49">
        <f>IF(D11="","-",+C59+1)</f>
        <v>2061</v>
      </c>
      <c r="D60" s="54">
        <f>IF(F59+SUM(E$17:E59)=D$10,F59,D$10-SUM(E$17:E59))</f>
        <v>0</v>
      </c>
      <c r="E60" s="55">
        <f t="shared" si="14"/>
        <v>0</v>
      </c>
      <c r="F60" s="54">
        <f t="shared" si="9"/>
        <v>0</v>
      </c>
      <c r="G60" s="56">
        <f t="shared" si="7"/>
        <v>0</v>
      </c>
      <c r="H60" s="41">
        <f t="shared" si="8"/>
        <v>0</v>
      </c>
      <c r="I60" s="51">
        <f t="shared" si="10"/>
        <v>0</v>
      </c>
      <c r="J60" s="51"/>
      <c r="K60" s="112"/>
      <c r="L60" s="53">
        <f t="shared" si="11"/>
        <v>0</v>
      </c>
      <c r="M60" s="112"/>
      <c r="N60" s="53">
        <f t="shared" si="12"/>
        <v>0</v>
      </c>
      <c r="O60" s="53">
        <f t="shared" si="13"/>
        <v>0</v>
      </c>
      <c r="P60" s="1"/>
    </row>
    <row r="61" spans="2:16">
      <c r="B61" t="str">
        <f t="shared" si="0"/>
        <v/>
      </c>
      <c r="C61" s="49">
        <f>IF(D11="","-",+C60+1)</f>
        <v>2062</v>
      </c>
      <c r="D61" s="54">
        <f>IF(F60+SUM(E$17:E60)=D$10,F60,D$10-SUM(E$17:E60))</f>
        <v>0</v>
      </c>
      <c r="E61" s="55">
        <f t="shared" si="14"/>
        <v>0</v>
      </c>
      <c r="F61" s="54">
        <f t="shared" si="9"/>
        <v>0</v>
      </c>
      <c r="G61" s="57">
        <f t="shared" si="7"/>
        <v>0</v>
      </c>
      <c r="H61" s="41">
        <f t="shared" si="8"/>
        <v>0</v>
      </c>
      <c r="I61" s="51">
        <f t="shared" si="10"/>
        <v>0</v>
      </c>
      <c r="J61" s="51"/>
      <c r="K61" s="112"/>
      <c r="L61" s="53">
        <f t="shared" si="11"/>
        <v>0</v>
      </c>
      <c r="M61" s="112"/>
      <c r="N61" s="53">
        <f t="shared" si="12"/>
        <v>0</v>
      </c>
      <c r="O61" s="53">
        <f t="shared" si="13"/>
        <v>0</v>
      </c>
      <c r="P61" s="1"/>
    </row>
    <row r="62" spans="2:16">
      <c r="B62" t="str">
        <f t="shared" si="0"/>
        <v/>
      </c>
      <c r="C62" s="49">
        <f>IF(D11="","-",+C61+1)</f>
        <v>2063</v>
      </c>
      <c r="D62" s="54">
        <f>IF(F61+SUM(E$17:E61)=D$10,F61,D$10-SUM(E$17:E61))</f>
        <v>0</v>
      </c>
      <c r="E62" s="55">
        <f t="shared" si="14"/>
        <v>0</v>
      </c>
      <c r="F62" s="54">
        <f t="shared" si="9"/>
        <v>0</v>
      </c>
      <c r="G62" s="57">
        <f t="shared" si="7"/>
        <v>0</v>
      </c>
      <c r="H62" s="41">
        <f t="shared" si="8"/>
        <v>0</v>
      </c>
      <c r="I62" s="51">
        <f t="shared" si="10"/>
        <v>0</v>
      </c>
      <c r="J62" s="51"/>
      <c r="K62" s="112"/>
      <c r="L62" s="53">
        <f t="shared" si="11"/>
        <v>0</v>
      </c>
      <c r="M62" s="112"/>
      <c r="N62" s="53">
        <f t="shared" si="12"/>
        <v>0</v>
      </c>
      <c r="O62" s="53">
        <f t="shared" si="13"/>
        <v>0</v>
      </c>
      <c r="P62" s="1"/>
    </row>
    <row r="63" spans="2:16">
      <c r="B63" t="str">
        <f t="shared" si="0"/>
        <v/>
      </c>
      <c r="C63" s="49">
        <f>IF(D11="","-",+C62+1)</f>
        <v>2064</v>
      </c>
      <c r="D63" s="54">
        <f>IF(F62+SUM(E$17:E62)=D$10,F62,D$10-SUM(E$17:E62))</f>
        <v>0</v>
      </c>
      <c r="E63" s="55">
        <f t="shared" si="14"/>
        <v>0</v>
      </c>
      <c r="F63" s="54">
        <f t="shared" si="9"/>
        <v>0</v>
      </c>
      <c r="G63" s="57">
        <f t="shared" si="7"/>
        <v>0</v>
      </c>
      <c r="H63" s="41">
        <f t="shared" si="8"/>
        <v>0</v>
      </c>
      <c r="I63" s="51">
        <f t="shared" si="10"/>
        <v>0</v>
      </c>
      <c r="J63" s="51"/>
      <c r="K63" s="112"/>
      <c r="L63" s="53">
        <f t="shared" si="11"/>
        <v>0</v>
      </c>
      <c r="M63" s="112"/>
      <c r="N63" s="53">
        <f t="shared" si="12"/>
        <v>0</v>
      </c>
      <c r="O63" s="53">
        <f t="shared" si="13"/>
        <v>0</v>
      </c>
      <c r="P63" s="1"/>
    </row>
    <row r="64" spans="2:16">
      <c r="B64" t="str">
        <f t="shared" si="0"/>
        <v/>
      </c>
      <c r="C64" s="49">
        <f>IF(D11="","-",+C63+1)</f>
        <v>2065</v>
      </c>
      <c r="D64" s="54">
        <f>IF(F63+SUM(E$17:E63)=D$10,F63,D$10-SUM(E$17:E63))</f>
        <v>0</v>
      </c>
      <c r="E64" s="55">
        <f t="shared" si="14"/>
        <v>0</v>
      </c>
      <c r="F64" s="54">
        <f t="shared" si="9"/>
        <v>0</v>
      </c>
      <c r="G64" s="57">
        <f t="shared" si="7"/>
        <v>0</v>
      </c>
      <c r="H64" s="41">
        <f t="shared" si="8"/>
        <v>0</v>
      </c>
      <c r="I64" s="51">
        <f t="shared" si="10"/>
        <v>0</v>
      </c>
      <c r="J64" s="51"/>
      <c r="K64" s="112"/>
      <c r="L64" s="53">
        <f t="shared" si="11"/>
        <v>0</v>
      </c>
      <c r="M64" s="112"/>
      <c r="N64" s="53">
        <f t="shared" si="12"/>
        <v>0</v>
      </c>
      <c r="O64" s="53">
        <f t="shared" si="13"/>
        <v>0</v>
      </c>
      <c r="P64" s="1"/>
    </row>
    <row r="65" spans="2:16">
      <c r="B65" t="str">
        <f t="shared" si="0"/>
        <v/>
      </c>
      <c r="C65" s="49">
        <f>IF(D11="","-",+C64+1)</f>
        <v>2066</v>
      </c>
      <c r="D65" s="54">
        <f>IF(F64+SUM(E$17:E64)=D$10,F64,D$10-SUM(E$17:E64))</f>
        <v>0</v>
      </c>
      <c r="E65" s="55">
        <f t="shared" si="14"/>
        <v>0</v>
      </c>
      <c r="F65" s="54">
        <f t="shared" si="9"/>
        <v>0</v>
      </c>
      <c r="G65" s="57">
        <f t="shared" si="7"/>
        <v>0</v>
      </c>
      <c r="H65" s="41">
        <f t="shared" si="8"/>
        <v>0</v>
      </c>
      <c r="I65" s="51">
        <f t="shared" si="10"/>
        <v>0</v>
      </c>
      <c r="J65" s="51"/>
      <c r="K65" s="112"/>
      <c r="L65" s="53">
        <f t="shared" si="11"/>
        <v>0</v>
      </c>
      <c r="M65" s="112"/>
      <c r="N65" s="53">
        <f t="shared" si="12"/>
        <v>0</v>
      </c>
      <c r="O65" s="53">
        <f t="shared" si="13"/>
        <v>0</v>
      </c>
      <c r="P65" s="1"/>
    </row>
    <row r="66" spans="2:16">
      <c r="B66" t="str">
        <f t="shared" si="0"/>
        <v/>
      </c>
      <c r="C66" s="49">
        <f>IF(D11="","-",+C65+1)</f>
        <v>2067</v>
      </c>
      <c r="D66" s="54">
        <f>IF(F65+SUM(E$17:E65)=D$10,F65,D$10-SUM(E$17:E65))</f>
        <v>0</v>
      </c>
      <c r="E66" s="55">
        <f t="shared" si="14"/>
        <v>0</v>
      </c>
      <c r="F66" s="54">
        <f t="shared" si="9"/>
        <v>0</v>
      </c>
      <c r="G66" s="57">
        <f t="shared" si="7"/>
        <v>0</v>
      </c>
      <c r="H66" s="41">
        <f t="shared" si="8"/>
        <v>0</v>
      </c>
      <c r="I66" s="51">
        <f t="shared" si="10"/>
        <v>0</v>
      </c>
      <c r="J66" s="51"/>
      <c r="K66" s="112"/>
      <c r="L66" s="53">
        <f t="shared" si="11"/>
        <v>0</v>
      </c>
      <c r="M66" s="112"/>
      <c r="N66" s="53">
        <f t="shared" si="12"/>
        <v>0</v>
      </c>
      <c r="O66" s="53">
        <f t="shared" si="13"/>
        <v>0</v>
      </c>
      <c r="P66" s="1"/>
    </row>
    <row r="67" spans="2:16">
      <c r="B67" t="str">
        <f t="shared" si="0"/>
        <v/>
      </c>
      <c r="C67" s="49">
        <f>IF(D11="","-",+C66+1)</f>
        <v>2068</v>
      </c>
      <c r="D67" s="54">
        <f>IF(F66+SUM(E$17:E66)=D$10,F66,D$10-SUM(E$17:E66))</f>
        <v>0</v>
      </c>
      <c r="E67" s="55">
        <f t="shared" si="14"/>
        <v>0</v>
      </c>
      <c r="F67" s="54">
        <f t="shared" si="9"/>
        <v>0</v>
      </c>
      <c r="G67" s="57">
        <f t="shared" si="7"/>
        <v>0</v>
      </c>
      <c r="H67" s="41">
        <f t="shared" si="8"/>
        <v>0</v>
      </c>
      <c r="I67" s="51">
        <f t="shared" si="10"/>
        <v>0</v>
      </c>
      <c r="J67" s="51"/>
      <c r="K67" s="112"/>
      <c r="L67" s="53">
        <f t="shared" si="11"/>
        <v>0</v>
      </c>
      <c r="M67" s="112"/>
      <c r="N67" s="53">
        <f t="shared" si="12"/>
        <v>0</v>
      </c>
      <c r="O67" s="53">
        <f t="shared" si="13"/>
        <v>0</v>
      </c>
      <c r="P67" s="1"/>
    </row>
    <row r="68" spans="2:16">
      <c r="B68" t="str">
        <f t="shared" si="0"/>
        <v/>
      </c>
      <c r="C68" s="49">
        <f>IF(D11="","-",+C67+1)</f>
        <v>2069</v>
      </c>
      <c r="D68" s="54">
        <f>IF(F67+SUM(E$17:E67)=D$10,F67,D$10-SUM(E$17:E67))</f>
        <v>0</v>
      </c>
      <c r="E68" s="55">
        <f t="shared" si="14"/>
        <v>0</v>
      </c>
      <c r="F68" s="54">
        <f t="shared" si="9"/>
        <v>0</v>
      </c>
      <c r="G68" s="57">
        <f t="shared" si="7"/>
        <v>0</v>
      </c>
      <c r="H68" s="41">
        <f t="shared" si="8"/>
        <v>0</v>
      </c>
      <c r="I68" s="51">
        <f t="shared" si="10"/>
        <v>0</v>
      </c>
      <c r="J68" s="51"/>
      <c r="K68" s="112"/>
      <c r="L68" s="53">
        <f t="shared" si="11"/>
        <v>0</v>
      </c>
      <c r="M68" s="112"/>
      <c r="N68" s="53">
        <f t="shared" si="12"/>
        <v>0</v>
      </c>
      <c r="O68" s="53">
        <f t="shared" si="13"/>
        <v>0</v>
      </c>
      <c r="P68" s="1"/>
    </row>
    <row r="69" spans="2:16">
      <c r="B69" t="str">
        <f t="shared" si="0"/>
        <v/>
      </c>
      <c r="C69" s="49">
        <f>IF(D11="","-",+C68+1)</f>
        <v>2070</v>
      </c>
      <c r="D69" s="54">
        <f>IF(F68+SUM(E$17:E68)=D$10,F68,D$10-SUM(E$17:E68))</f>
        <v>0</v>
      </c>
      <c r="E69" s="55">
        <f t="shared" si="14"/>
        <v>0</v>
      </c>
      <c r="F69" s="54">
        <f t="shared" si="9"/>
        <v>0</v>
      </c>
      <c r="G69" s="57">
        <f t="shared" si="7"/>
        <v>0</v>
      </c>
      <c r="H69" s="41">
        <f t="shared" si="8"/>
        <v>0</v>
      </c>
      <c r="I69" s="51">
        <f t="shared" si="10"/>
        <v>0</v>
      </c>
      <c r="J69" s="51"/>
      <c r="K69" s="112"/>
      <c r="L69" s="53">
        <f t="shared" si="11"/>
        <v>0</v>
      </c>
      <c r="M69" s="112"/>
      <c r="N69" s="53">
        <f t="shared" si="12"/>
        <v>0</v>
      </c>
      <c r="O69" s="53">
        <f t="shared" si="13"/>
        <v>0</v>
      </c>
      <c r="P69" s="1"/>
    </row>
    <row r="70" spans="2:16">
      <c r="B70" t="str">
        <f t="shared" si="0"/>
        <v/>
      </c>
      <c r="C70" s="49">
        <f>IF(D11="","-",+C69+1)</f>
        <v>2071</v>
      </c>
      <c r="D70" s="54">
        <f>IF(F69+SUM(E$17:E69)=D$10,F69,D$10-SUM(E$17:E69))</f>
        <v>0</v>
      </c>
      <c r="E70" s="55">
        <f t="shared" si="14"/>
        <v>0</v>
      </c>
      <c r="F70" s="54">
        <f t="shared" si="9"/>
        <v>0</v>
      </c>
      <c r="G70" s="57">
        <f t="shared" si="7"/>
        <v>0</v>
      </c>
      <c r="H70" s="41">
        <f t="shared" si="8"/>
        <v>0</v>
      </c>
      <c r="I70" s="51">
        <f t="shared" si="10"/>
        <v>0</v>
      </c>
      <c r="J70" s="51"/>
      <c r="K70" s="112"/>
      <c r="L70" s="53">
        <f t="shared" si="11"/>
        <v>0</v>
      </c>
      <c r="M70" s="112"/>
      <c r="N70" s="53">
        <f t="shared" si="12"/>
        <v>0</v>
      </c>
      <c r="O70" s="53">
        <f t="shared" si="13"/>
        <v>0</v>
      </c>
      <c r="P70" s="1"/>
    </row>
    <row r="71" spans="2:16">
      <c r="B71" t="str">
        <f t="shared" si="0"/>
        <v/>
      </c>
      <c r="C71" s="49">
        <f>IF(D11="","-",+C70+1)</f>
        <v>2072</v>
      </c>
      <c r="D71" s="54">
        <f>IF(F70+SUM(E$17:E70)=D$10,F70,D$10-SUM(E$17:E70))</f>
        <v>0</v>
      </c>
      <c r="E71" s="55">
        <f t="shared" si="14"/>
        <v>0</v>
      </c>
      <c r="F71" s="54">
        <f t="shared" si="9"/>
        <v>0</v>
      </c>
      <c r="G71" s="57">
        <f t="shared" si="7"/>
        <v>0</v>
      </c>
      <c r="H71" s="41">
        <f t="shared" si="8"/>
        <v>0</v>
      </c>
      <c r="I71" s="51">
        <f t="shared" si="10"/>
        <v>0</v>
      </c>
      <c r="J71" s="51"/>
      <c r="K71" s="112"/>
      <c r="L71" s="53">
        <f t="shared" si="11"/>
        <v>0</v>
      </c>
      <c r="M71" s="112"/>
      <c r="N71" s="53">
        <f t="shared" si="12"/>
        <v>0</v>
      </c>
      <c r="O71" s="53">
        <f t="shared" si="13"/>
        <v>0</v>
      </c>
      <c r="P71" s="1"/>
    </row>
    <row r="72" spans="2:16">
      <c r="C72" s="49">
        <f>IF(D12="","-",+C71+1)</f>
        <v>2073</v>
      </c>
      <c r="D72" s="54">
        <f>IF(F71+SUM(E$17:E71)=D$10,F71,D$10-SUM(E$17:E71))</f>
        <v>0</v>
      </c>
      <c r="E72" s="55">
        <f>IF(+I$14&lt;F71,I$14,D72)</f>
        <v>0</v>
      </c>
      <c r="F72" s="54">
        <f>+D72-E72</f>
        <v>0</v>
      </c>
      <c r="G72" s="57">
        <f>(D72+F72)/2*I$12+E72</f>
        <v>0</v>
      </c>
      <c r="H72" s="41">
        <f>+(D72+F72)/2*I$13+E72</f>
        <v>0</v>
      </c>
      <c r="I72" s="51">
        <f>H72-G72</f>
        <v>0</v>
      </c>
      <c r="J72" s="51"/>
      <c r="K72" s="112"/>
      <c r="L72" s="53">
        <f>IF(K72&lt;&gt;0,+G72-K72,0)</f>
        <v>0</v>
      </c>
      <c r="M72" s="112"/>
      <c r="N72" s="53">
        <f>IF(M72&lt;&gt;0,+H72-M72,0)</f>
        <v>0</v>
      </c>
      <c r="O72" s="53">
        <f>+N72-L72</f>
        <v>0</v>
      </c>
      <c r="P72" s="1"/>
    </row>
    <row r="73" spans="2:16" ht="13.5" thickBot="1">
      <c r="B73" t="str">
        <f>IF(D73=F71,"","IU")</f>
        <v/>
      </c>
      <c r="C73" s="58">
        <f>IF(D13="","-",+C72+1)</f>
        <v>2074</v>
      </c>
      <c r="D73" s="60">
        <f>IF(F72+SUM(E$17:E72)=D$10,F72,D$10-SUM(E$17:E72))</f>
        <v>0</v>
      </c>
      <c r="E73" s="60">
        <f>IF(+I$14&lt;F72,I$14,D73)</f>
        <v>0</v>
      </c>
      <c r="F73" s="59">
        <f>+D73-E73</f>
        <v>0</v>
      </c>
      <c r="G73" s="61">
        <f>(D73+F73)/2*I$12+E73</f>
        <v>0</v>
      </c>
      <c r="H73" s="28">
        <f>+(D73+F73)/2*I$13+E73</f>
        <v>0</v>
      </c>
      <c r="I73" s="62">
        <f>H73-G73</f>
        <v>0</v>
      </c>
      <c r="J73" s="51"/>
      <c r="K73" s="113"/>
      <c r="L73" s="63">
        <f>IF(K73&lt;&gt;0,+G73-K73,0)</f>
        <v>0</v>
      </c>
      <c r="M73" s="113"/>
      <c r="N73" s="63">
        <f>IF(M73&lt;&gt;0,+H73-M73,0)</f>
        <v>0</v>
      </c>
      <c r="O73" s="63">
        <f>+N73-L73</f>
        <v>0</v>
      </c>
      <c r="P73" s="1"/>
    </row>
    <row r="74" spans="2:16">
      <c r="C74" s="11" t="s">
        <v>75</v>
      </c>
      <c r="D74" s="13"/>
      <c r="E74" s="13">
        <f>SUM(E17:E73)</f>
        <v>0</v>
      </c>
      <c r="F74" s="13"/>
      <c r="G74" s="13">
        <f>SUM(G17:G73)</f>
        <v>0</v>
      </c>
      <c r="H74" s="13">
        <f>SUM(H17:H73)</f>
        <v>0</v>
      </c>
      <c r="I74" s="13">
        <f>SUM(I17:I73)</f>
        <v>0</v>
      </c>
      <c r="J74" s="13"/>
      <c r="K74" s="13"/>
      <c r="L74" s="13"/>
      <c r="M74" s="13"/>
      <c r="N74" s="13"/>
      <c r="O74" s="1"/>
      <c r="P74" s="1"/>
    </row>
    <row r="75" spans="2:16">
      <c r="D75" s="2"/>
      <c r="E75" s="1"/>
      <c r="F75" s="1"/>
      <c r="G75" s="1"/>
      <c r="H75" s="3"/>
      <c r="I75" s="3"/>
      <c r="J75" s="13"/>
      <c r="K75" s="3"/>
      <c r="L75" s="3"/>
      <c r="M75" s="3"/>
      <c r="N75" s="3"/>
      <c r="O75" s="1"/>
      <c r="P75" s="1"/>
    </row>
    <row r="76" spans="2:16">
      <c r="C76" s="29" t="s">
        <v>95</v>
      </c>
      <c r="D76" s="2"/>
      <c r="E76" s="1"/>
      <c r="F76" s="1"/>
      <c r="G76" s="1"/>
      <c r="H76" s="3"/>
      <c r="I76" s="3"/>
      <c r="J76" s="13"/>
      <c r="K76" s="3"/>
      <c r="L76" s="3"/>
      <c r="M76" s="3"/>
      <c r="N76" s="3"/>
      <c r="O76" s="1"/>
      <c r="P76" s="1"/>
    </row>
    <row r="77" spans="2:16">
      <c r="C77" s="25" t="s">
        <v>76</v>
      </c>
      <c r="D77" s="2"/>
      <c r="E77" s="1"/>
      <c r="F77" s="1"/>
      <c r="G77" s="1"/>
      <c r="H77" s="3"/>
      <c r="I77" s="3"/>
      <c r="J77" s="13"/>
      <c r="K77" s="3"/>
      <c r="L77" s="3"/>
      <c r="M77" s="3"/>
      <c r="N77" s="3"/>
      <c r="O77" s="1"/>
      <c r="P77" s="1"/>
    </row>
    <row r="78" spans="2:16">
      <c r="C78" s="25" t="s">
        <v>77</v>
      </c>
      <c r="D78" s="11"/>
      <c r="E78" s="11"/>
      <c r="F78" s="11"/>
      <c r="G78" s="13"/>
      <c r="H78" s="13"/>
      <c r="I78" s="64"/>
      <c r="J78" s="64"/>
      <c r="K78" s="64"/>
      <c r="L78" s="64"/>
      <c r="M78" s="64"/>
      <c r="N78" s="64"/>
      <c r="O78" s="1"/>
      <c r="P78" s="1"/>
    </row>
    <row r="79" spans="2:16">
      <c r="C79" s="25"/>
      <c r="D79" s="11"/>
      <c r="E79" s="11"/>
      <c r="F79" s="11"/>
      <c r="G79" s="13"/>
      <c r="H79" s="13"/>
      <c r="I79" s="64"/>
      <c r="J79" s="64"/>
      <c r="K79" s="64"/>
      <c r="L79" s="64"/>
      <c r="M79" s="64"/>
      <c r="N79" s="64"/>
      <c r="O79" s="1"/>
      <c r="P79" s="1"/>
    </row>
    <row r="80" spans="2:16">
      <c r="B80" s="1"/>
      <c r="C80" s="1"/>
      <c r="D80" s="2"/>
      <c r="E80" s="1"/>
      <c r="F80" s="11"/>
      <c r="G80" s="1"/>
      <c r="H80" s="3"/>
      <c r="I80" s="1"/>
      <c r="J80" s="1"/>
      <c r="K80" s="1"/>
      <c r="L80" s="1"/>
      <c r="M80" s="1"/>
      <c r="N80" s="1"/>
      <c r="O80" s="1"/>
      <c r="P80" s="1"/>
    </row>
    <row r="81" spans="1:16" ht="18">
      <c r="B81" s="1"/>
      <c r="C81" s="92"/>
      <c r="D81" s="2"/>
      <c r="E81" s="1"/>
      <c r="F81" s="11"/>
      <c r="G81" s="1"/>
      <c r="H81" s="3"/>
      <c r="I81" s="1"/>
      <c r="J81" s="1"/>
      <c r="K81" s="1"/>
      <c r="L81" s="1"/>
      <c r="M81" s="1"/>
      <c r="N81" s="1"/>
      <c r="P81" s="94" t="s">
        <v>128</v>
      </c>
    </row>
    <row r="82" spans="1:16">
      <c r="B82" s="1"/>
      <c r="C82" s="1"/>
      <c r="D82" s="2"/>
      <c r="E82" s="1"/>
      <c r="F82" s="11"/>
      <c r="G82" s="1"/>
      <c r="H82" s="3"/>
      <c r="I82" s="1"/>
      <c r="J82" s="1"/>
      <c r="K82" s="1"/>
      <c r="L82" s="1"/>
      <c r="M82" s="1"/>
      <c r="N82" s="1"/>
      <c r="O82" s="1"/>
      <c r="P82" s="1"/>
    </row>
    <row r="83" spans="1:16">
      <c r="B83" s="1"/>
      <c r="C83" s="1"/>
      <c r="D83" s="2"/>
      <c r="E83" s="1"/>
      <c r="F83" s="11"/>
      <c r="G83" s="1"/>
      <c r="H83" s="3"/>
      <c r="I83" s="1"/>
      <c r="J83" s="1"/>
      <c r="K83" s="1"/>
      <c r="L83" s="1"/>
      <c r="M83" s="1"/>
      <c r="N83" s="1"/>
      <c r="O83" s="1"/>
      <c r="P83" s="1"/>
    </row>
    <row r="84" spans="1:16" ht="20.25">
      <c r="A84" s="93" t="s">
        <v>190</v>
      </c>
      <c r="B84" s="1"/>
      <c r="C84" s="1"/>
      <c r="D84" s="2"/>
      <c r="E84" s="1"/>
      <c r="F84" s="7"/>
      <c r="G84" s="7"/>
      <c r="H84" s="1"/>
      <c r="I84" s="3"/>
      <c r="L84" s="12"/>
      <c r="M84" s="12"/>
      <c r="P84" s="12" t="str">
        <f ca="1">P1</f>
        <v>OKT Project nk of 26</v>
      </c>
    </row>
    <row r="85" spans="1:16" ht="18">
      <c r="B85" s="1"/>
      <c r="C85" s="1"/>
      <c r="D85" s="2"/>
      <c r="E85" s="1"/>
      <c r="F85" s="1"/>
      <c r="G85" s="1"/>
      <c r="H85" s="1"/>
      <c r="I85" s="3"/>
      <c r="J85" s="1"/>
      <c r="K85" s="1"/>
      <c r="L85" s="1"/>
      <c r="M85" s="1"/>
      <c r="P85" s="99" t="s">
        <v>132</v>
      </c>
    </row>
    <row r="86" spans="1:16" ht="18.75" thickBot="1">
      <c r="B86" s="4" t="s">
        <v>42</v>
      </c>
      <c r="C86" s="66" t="s">
        <v>81</v>
      </c>
      <c r="D86" s="2"/>
      <c r="E86" s="1"/>
      <c r="F86" s="1"/>
      <c r="G86" s="1"/>
      <c r="H86" s="1"/>
      <c r="I86" s="3"/>
      <c r="J86" s="3"/>
      <c r="K86" s="13"/>
      <c r="L86" s="3"/>
      <c r="M86" s="3"/>
      <c r="N86" s="3"/>
      <c r="O86" s="13"/>
      <c r="P86" s="1"/>
    </row>
    <row r="87" spans="1:16" ht="15.75" thickBot="1">
      <c r="C87" s="8"/>
      <c r="D87" s="2"/>
      <c r="E87" s="1"/>
      <c r="F87" s="1"/>
      <c r="G87" s="1"/>
      <c r="H87" s="1"/>
      <c r="I87" s="3"/>
      <c r="J87" s="3"/>
      <c r="K87" s="13"/>
      <c r="L87" s="100">
        <f>+J93</f>
        <v>2025</v>
      </c>
      <c r="M87" s="101" t="s">
        <v>9</v>
      </c>
      <c r="N87" s="102" t="s">
        <v>134</v>
      </c>
      <c r="O87" s="103" t="s">
        <v>11</v>
      </c>
      <c r="P87" s="1"/>
    </row>
    <row r="88" spans="1:16" ht="15">
      <c r="C88" s="90" t="s">
        <v>44</v>
      </c>
      <c r="D88" s="2"/>
      <c r="E88" s="1"/>
      <c r="F88" s="1"/>
      <c r="G88" s="1"/>
      <c r="H88" s="15"/>
      <c r="I88" s="1" t="s">
        <v>45</v>
      </c>
      <c r="J88" s="1"/>
      <c r="K88" s="104"/>
      <c r="L88" s="105" t="s">
        <v>253</v>
      </c>
      <c r="M88" s="67">
        <f>IF(J93&lt;D11,0,VLOOKUP(J93,C17:O73,9))</f>
        <v>0</v>
      </c>
      <c r="N88" s="67">
        <f>IF(J93&lt;D11,0,VLOOKUP(J93,C17:O73,11))</f>
        <v>0</v>
      </c>
      <c r="O88" s="68">
        <f>+N88-M88</f>
        <v>0</v>
      </c>
      <c r="P88" s="1"/>
    </row>
    <row r="89" spans="1:16" ht="15.75">
      <c r="C89" s="6"/>
      <c r="D89" s="2"/>
      <c r="E89" s="1"/>
      <c r="F89" s="1"/>
      <c r="G89" s="1"/>
      <c r="H89" s="1"/>
      <c r="I89" s="20"/>
      <c r="J89" s="20"/>
      <c r="K89" s="106"/>
      <c r="L89" s="107" t="s">
        <v>254</v>
      </c>
      <c r="M89" s="69">
        <f>IF(J93&lt;D11,0,VLOOKUP(J93,C100:P155,6))</f>
        <v>0</v>
      </c>
      <c r="N89" s="69">
        <f>IF(J93&lt;D11,0,VLOOKUP(J93,C100:P155,7))</f>
        <v>0</v>
      </c>
      <c r="O89" s="70">
        <f>+N89-M89</f>
        <v>0</v>
      </c>
      <c r="P89" s="1"/>
    </row>
    <row r="90" spans="1:16" ht="13.5" thickBot="1">
      <c r="C90" s="25" t="s">
        <v>82</v>
      </c>
      <c r="D90" s="96" t="str">
        <f>+D7</f>
        <v>insert project name here</v>
      </c>
      <c r="E90" s="1"/>
      <c r="F90" s="1"/>
      <c r="G90" s="1"/>
      <c r="H90" s="1"/>
      <c r="I90" s="3"/>
      <c r="J90" s="3"/>
      <c r="K90" s="108"/>
      <c r="L90" s="109" t="s">
        <v>135</v>
      </c>
      <c r="M90" s="72">
        <f>+M89-M88</f>
        <v>0</v>
      </c>
      <c r="N90" s="72">
        <f>+N89-N88</f>
        <v>0</v>
      </c>
      <c r="O90" s="73">
        <f>+O89-O88</f>
        <v>0</v>
      </c>
      <c r="P90" s="1"/>
    </row>
    <row r="91" spans="1:16" ht="13.5" thickBot="1">
      <c r="C91" s="29"/>
      <c r="D91" s="65" t="str">
        <f>IF(D8="","",D8)</f>
        <v>DOES NOT MEET SPP $100,000 MINIMUM INVESTMENT FOR REGIONAL BPU SHARING.</v>
      </c>
      <c r="E91" s="11"/>
      <c r="F91" s="11"/>
      <c r="G91" s="11"/>
      <c r="H91" s="10"/>
      <c r="I91" s="3"/>
      <c r="J91" s="3"/>
      <c r="K91" s="13"/>
      <c r="L91" s="3"/>
      <c r="M91" s="3"/>
      <c r="N91" s="3"/>
      <c r="O91" s="13"/>
      <c r="P91" s="1"/>
    </row>
    <row r="92" spans="1:16" ht="13.5" thickBot="1">
      <c r="C92" s="74" t="s">
        <v>83</v>
      </c>
      <c r="D92" s="88" t="str">
        <f>+D9</f>
        <v>TP2004033</v>
      </c>
      <c r="E92" s="75"/>
      <c r="F92" s="75"/>
      <c r="G92" s="75"/>
      <c r="H92" s="75"/>
      <c r="I92" s="75"/>
      <c r="J92" s="75"/>
    </row>
    <row r="93" spans="1:16">
      <c r="C93" s="34" t="s">
        <v>49</v>
      </c>
      <c r="D93" s="85">
        <v>0</v>
      </c>
      <c r="E93" s="1" t="s">
        <v>84</v>
      </c>
      <c r="H93" s="2"/>
      <c r="I93" s="2"/>
      <c r="J93" s="36">
        <f>+'OKT.WS.G.BPU.ATRR.True-up'!M16</f>
        <v>2025</v>
      </c>
      <c r="K93" s="33"/>
      <c r="L93" s="13" t="s">
        <v>85</v>
      </c>
      <c r="P93" s="1"/>
    </row>
    <row r="94" spans="1:16">
      <c r="C94" s="34" t="s">
        <v>52</v>
      </c>
      <c r="D94" s="85">
        <f>IF(D11="","",D11)</f>
        <v>2018</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row>
    <row r="95" spans="1:16">
      <c r="C95" s="34" t="s">
        <v>54</v>
      </c>
      <c r="D95" s="85">
        <f>IF(D12="","",D12)</f>
        <v>4</v>
      </c>
      <c r="E95" s="34" t="s">
        <v>55</v>
      </c>
      <c r="F95" s="2"/>
      <c r="G95" s="2"/>
      <c r="J95" s="40">
        <f>'OKT.WS.G.BPU.ATRR.True-up'!$F$81</f>
        <v>0.11246496061127743</v>
      </c>
      <c r="K95" s="7"/>
      <c r="L95" t="s">
        <v>86</v>
      </c>
      <c r="P95" s="1"/>
    </row>
    <row r="96" spans="1:16">
      <c r="C96" s="34" t="s">
        <v>57</v>
      </c>
      <c r="D96" s="38">
        <f>'OKT.WS.G.BPU.ATRR.True-up'!F$93</f>
        <v>32</v>
      </c>
      <c r="E96" s="34" t="s">
        <v>58</v>
      </c>
      <c r="F96" s="2"/>
      <c r="G96" s="2"/>
      <c r="J96" s="40">
        <f>IF(H88="",J95,'OKT.WS.G.BPU.ATRR.True-up'!$F$80)</f>
        <v>0.11246496061127743</v>
      </c>
      <c r="K96" s="7"/>
      <c r="L96" s="13" t="s">
        <v>59</v>
      </c>
      <c r="M96" s="7"/>
      <c r="N96" s="7"/>
      <c r="O96" s="7"/>
      <c r="P96" s="1"/>
    </row>
    <row r="97" spans="1:16" ht="13.5" thickBot="1">
      <c r="C97" s="34" t="s">
        <v>60</v>
      </c>
      <c r="D97" s="86" t="str">
        <f>+D14</f>
        <v>No</v>
      </c>
      <c r="E97" s="71" t="s">
        <v>62</v>
      </c>
      <c r="F97" s="76"/>
      <c r="G97" s="76"/>
      <c r="H97" s="77"/>
      <c r="I97" s="77"/>
      <c r="J97" s="28">
        <f>IF(D93=0,0,D93/D96)</f>
        <v>0</v>
      </c>
      <c r="K97" s="13"/>
      <c r="L97" s="13"/>
      <c r="M97" s="13"/>
      <c r="N97" s="13"/>
      <c r="O97" s="13"/>
      <c r="P97" s="1"/>
    </row>
    <row r="98" spans="1:16" ht="38.25">
      <c r="A98" s="5"/>
      <c r="B98" s="5"/>
      <c r="C98" s="78" t="s">
        <v>49</v>
      </c>
      <c r="D98" s="123" t="s">
        <v>193</v>
      </c>
      <c r="E98" s="45" t="s">
        <v>63</v>
      </c>
      <c r="F98" s="45" t="s">
        <v>64</v>
      </c>
      <c r="G98" s="43" t="s">
        <v>87</v>
      </c>
      <c r="H98" s="125" t="s">
        <v>251</v>
      </c>
      <c r="I98" s="126" t="s">
        <v>252</v>
      </c>
      <c r="J98" s="78" t="s">
        <v>88</v>
      </c>
      <c r="K98" s="79"/>
      <c r="L98" s="45" t="s">
        <v>91</v>
      </c>
      <c r="M98" s="45" t="s">
        <v>89</v>
      </c>
      <c r="N98" s="45" t="s">
        <v>91</v>
      </c>
      <c r="O98" s="45" t="s">
        <v>89</v>
      </c>
      <c r="P98" s="45" t="s">
        <v>67</v>
      </c>
    </row>
    <row r="99" spans="1:16" ht="13.5" thickBot="1">
      <c r="C99" s="46" t="s">
        <v>68</v>
      </c>
      <c r="D99" s="80" t="s">
        <v>69</v>
      </c>
      <c r="E99" s="46" t="s">
        <v>70</v>
      </c>
      <c r="F99" s="46" t="s">
        <v>69</v>
      </c>
      <c r="G99" s="46" t="s">
        <v>69</v>
      </c>
      <c r="H99" s="117" t="s">
        <v>71</v>
      </c>
      <c r="I99" s="47" t="s">
        <v>72</v>
      </c>
      <c r="J99" s="46" t="s">
        <v>93</v>
      </c>
      <c r="K99" s="44"/>
      <c r="L99" s="48" t="s">
        <v>74</v>
      </c>
      <c r="M99" s="48" t="s">
        <v>74</v>
      </c>
      <c r="N99" s="48" t="s">
        <v>94</v>
      </c>
      <c r="O99" s="48" t="s">
        <v>94</v>
      </c>
      <c r="P99" s="48" t="s">
        <v>94</v>
      </c>
    </row>
    <row r="100" spans="1:16">
      <c r="B100" t="str">
        <f t="shared" ref="B100:B155" si="15">IF(D100=F99,"","IU")</f>
        <v>IU</v>
      </c>
      <c r="C100" s="49">
        <f>IF(D94= "","-",D94)</f>
        <v>2018</v>
      </c>
      <c r="D100" s="11">
        <f>IF(D94=C100,0,IF(D93&lt;100000,0,D93))</f>
        <v>0</v>
      </c>
      <c r="E100" s="56">
        <f>IF(D93&lt;100000,0,J$97/12*(12-D95))</f>
        <v>0</v>
      </c>
      <c r="F100" s="54">
        <f>IF(D94=C100,+D93-E100,+D100-E100)</f>
        <v>0</v>
      </c>
      <c r="G100" s="81">
        <f>+(F100+D100)/2</f>
        <v>0</v>
      </c>
      <c r="H100" s="81">
        <f t="shared" ref="H100:H155" si="16">+J$95*G100+E100</f>
        <v>0</v>
      </c>
      <c r="I100" s="81">
        <f>+J$96*G100+E100</f>
        <v>0</v>
      </c>
      <c r="J100" s="53">
        <f t="shared" ref="J100:J131" si="17">+I100-H100</f>
        <v>0</v>
      </c>
      <c r="K100" s="53"/>
      <c r="L100" s="111"/>
      <c r="M100" s="52">
        <f t="shared" ref="M100:M131" si="18">IF(L100&lt;&gt;0,+H100-L100,0)</f>
        <v>0</v>
      </c>
      <c r="N100" s="111"/>
      <c r="O100" s="52">
        <f t="shared" ref="O100:O131" si="19">IF(N100&lt;&gt;0,+I100-N100,0)</f>
        <v>0</v>
      </c>
      <c r="P100" s="52">
        <f t="shared" ref="P100:P131" si="20">+O100-M100</f>
        <v>0</v>
      </c>
    </row>
    <row r="101" spans="1:16">
      <c r="B101" t="str">
        <f t="shared" si="15"/>
        <v/>
      </c>
      <c r="C101" s="49">
        <f>IF(D94="","-",+C100+1)</f>
        <v>2019</v>
      </c>
      <c r="D101" s="11">
        <f>IF(F100+SUM(E$100:E100)=D$93,F100,D$93-SUM(E$100:E100))</f>
        <v>0</v>
      </c>
      <c r="E101" s="55">
        <f t="shared" ref="E101:E132" si="21">IF(+J$97&lt;F100,J$97,D101)</f>
        <v>0</v>
      </c>
      <c r="F101" s="54">
        <f t="shared" ref="F101:F131" si="22">+D101-E101</f>
        <v>0</v>
      </c>
      <c r="G101" s="54">
        <f t="shared" ref="G101:G131" si="23">+(F101+D101)/2</f>
        <v>0</v>
      </c>
      <c r="H101" s="110">
        <f t="shared" si="16"/>
        <v>0</v>
      </c>
      <c r="I101" s="119">
        <f t="shared" ref="I101:I155" si="24">+J$96*G101+E101</f>
        <v>0</v>
      </c>
      <c r="J101" s="53">
        <f t="shared" si="17"/>
        <v>0</v>
      </c>
      <c r="K101" s="53"/>
      <c r="L101" s="112"/>
      <c r="M101" s="53">
        <f t="shared" si="18"/>
        <v>0</v>
      </c>
      <c r="N101" s="112"/>
      <c r="O101" s="53">
        <f t="shared" si="19"/>
        <v>0</v>
      </c>
      <c r="P101" s="53">
        <f t="shared" si="20"/>
        <v>0</v>
      </c>
    </row>
    <row r="102" spans="1:16">
      <c r="B102" t="str">
        <f t="shared" si="15"/>
        <v/>
      </c>
      <c r="C102" s="49">
        <f>IF(D94="","-",+C101+1)</f>
        <v>2020</v>
      </c>
      <c r="D102" s="11">
        <f>IF(F101+SUM(E$100:E101)=D$93,F101,D$93-SUM(E$100:E101))</f>
        <v>0</v>
      </c>
      <c r="E102" s="55">
        <f t="shared" si="21"/>
        <v>0</v>
      </c>
      <c r="F102" s="54">
        <f t="shared" si="22"/>
        <v>0</v>
      </c>
      <c r="G102" s="54">
        <f t="shared" si="23"/>
        <v>0</v>
      </c>
      <c r="H102" s="110">
        <f t="shared" si="16"/>
        <v>0</v>
      </c>
      <c r="I102" s="119">
        <f t="shared" si="24"/>
        <v>0</v>
      </c>
      <c r="J102" s="53">
        <f t="shared" si="17"/>
        <v>0</v>
      </c>
      <c r="K102" s="53"/>
      <c r="L102" s="112"/>
      <c r="M102" s="53">
        <f t="shared" si="18"/>
        <v>0</v>
      </c>
      <c r="N102" s="112"/>
      <c r="O102" s="53">
        <f t="shared" si="19"/>
        <v>0</v>
      </c>
      <c r="P102" s="53">
        <f t="shared" si="20"/>
        <v>0</v>
      </c>
    </row>
    <row r="103" spans="1:16">
      <c r="B103" t="str">
        <f t="shared" si="15"/>
        <v/>
      </c>
      <c r="C103" s="49">
        <f>IF(D94="","-",+C102+1)</f>
        <v>2021</v>
      </c>
      <c r="D103" s="11">
        <f>IF(F102+SUM(E$100:E102)=D$93,F102,D$93-SUM(E$100:E102))</f>
        <v>0</v>
      </c>
      <c r="E103" s="55">
        <f t="shared" si="21"/>
        <v>0</v>
      </c>
      <c r="F103" s="54">
        <f t="shared" si="22"/>
        <v>0</v>
      </c>
      <c r="G103" s="54">
        <f t="shared" si="23"/>
        <v>0</v>
      </c>
      <c r="H103" s="110">
        <f t="shared" si="16"/>
        <v>0</v>
      </c>
      <c r="I103" s="119">
        <f t="shared" si="24"/>
        <v>0</v>
      </c>
      <c r="J103" s="53">
        <f t="shared" si="17"/>
        <v>0</v>
      </c>
      <c r="K103" s="53"/>
      <c r="L103" s="112"/>
      <c r="M103" s="53">
        <f t="shared" si="18"/>
        <v>0</v>
      </c>
      <c r="N103" s="112"/>
      <c r="O103" s="53">
        <f t="shared" si="19"/>
        <v>0</v>
      </c>
      <c r="P103" s="53">
        <f t="shared" si="20"/>
        <v>0</v>
      </c>
    </row>
    <row r="104" spans="1:16">
      <c r="B104" t="str">
        <f t="shared" si="15"/>
        <v/>
      </c>
      <c r="C104" s="49">
        <f>IF(D94="","-",+C103+1)</f>
        <v>2022</v>
      </c>
      <c r="D104" s="11">
        <f>IF(F103+SUM(E$100:E103)=D$93,F103,D$93-SUM(E$100:E103))</f>
        <v>0</v>
      </c>
      <c r="E104" s="55">
        <f t="shared" si="21"/>
        <v>0</v>
      </c>
      <c r="F104" s="54">
        <f t="shared" si="22"/>
        <v>0</v>
      </c>
      <c r="G104" s="54">
        <f t="shared" si="23"/>
        <v>0</v>
      </c>
      <c r="H104" s="110">
        <f t="shared" si="16"/>
        <v>0</v>
      </c>
      <c r="I104" s="119">
        <f t="shared" si="24"/>
        <v>0</v>
      </c>
      <c r="J104" s="53">
        <f t="shared" si="17"/>
        <v>0</v>
      </c>
      <c r="K104" s="53"/>
      <c r="L104" s="112"/>
      <c r="M104" s="53">
        <f t="shared" si="18"/>
        <v>0</v>
      </c>
      <c r="N104" s="112"/>
      <c r="O104" s="53">
        <f t="shared" si="19"/>
        <v>0</v>
      </c>
      <c r="P104" s="53">
        <f t="shared" si="20"/>
        <v>0</v>
      </c>
    </row>
    <row r="105" spans="1:16">
      <c r="B105" t="str">
        <f t="shared" si="15"/>
        <v/>
      </c>
      <c r="C105" s="49">
        <f>IF(D94="","-",+C104+1)</f>
        <v>2023</v>
      </c>
      <c r="D105" s="11">
        <f>IF(F104+SUM(E$100:E104)=D$93,F104,D$93-SUM(E$100:E104))</f>
        <v>0</v>
      </c>
      <c r="E105" s="55">
        <f t="shared" si="21"/>
        <v>0</v>
      </c>
      <c r="F105" s="54">
        <f t="shared" si="22"/>
        <v>0</v>
      </c>
      <c r="G105" s="54">
        <f t="shared" si="23"/>
        <v>0</v>
      </c>
      <c r="H105" s="110">
        <f t="shared" si="16"/>
        <v>0</v>
      </c>
      <c r="I105" s="119">
        <f t="shared" si="24"/>
        <v>0</v>
      </c>
      <c r="J105" s="53">
        <f t="shared" si="17"/>
        <v>0</v>
      </c>
      <c r="K105" s="53"/>
      <c r="L105" s="112"/>
      <c r="M105" s="53">
        <f t="shared" si="18"/>
        <v>0</v>
      </c>
      <c r="N105" s="112"/>
      <c r="O105" s="53">
        <f t="shared" si="19"/>
        <v>0</v>
      </c>
      <c r="P105" s="53">
        <f t="shared" si="20"/>
        <v>0</v>
      </c>
    </row>
    <row r="106" spans="1:16">
      <c r="B106" t="str">
        <f t="shared" si="15"/>
        <v/>
      </c>
      <c r="C106" s="49">
        <f>IF(D94="","-",+C105+1)</f>
        <v>2024</v>
      </c>
      <c r="D106" s="11">
        <f>IF(F105+SUM(E$100:E105)=D$93,F105,D$93-SUM(E$100:E105))</f>
        <v>0</v>
      </c>
      <c r="E106" s="55">
        <f t="shared" si="21"/>
        <v>0</v>
      </c>
      <c r="F106" s="54">
        <f t="shared" si="22"/>
        <v>0</v>
      </c>
      <c r="G106" s="54">
        <f t="shared" si="23"/>
        <v>0</v>
      </c>
      <c r="H106" s="110">
        <f t="shared" si="16"/>
        <v>0</v>
      </c>
      <c r="I106" s="119">
        <f t="shared" si="24"/>
        <v>0</v>
      </c>
      <c r="J106" s="53">
        <f t="shared" si="17"/>
        <v>0</v>
      </c>
      <c r="K106" s="53"/>
      <c r="L106" s="112"/>
      <c r="M106" s="53">
        <f t="shared" si="18"/>
        <v>0</v>
      </c>
      <c r="N106" s="112"/>
      <c r="O106" s="53">
        <f t="shared" si="19"/>
        <v>0</v>
      </c>
      <c r="P106" s="53">
        <f t="shared" si="20"/>
        <v>0</v>
      </c>
    </row>
    <row r="107" spans="1:16">
      <c r="B107" t="str">
        <f t="shared" si="15"/>
        <v/>
      </c>
      <c r="C107" s="49">
        <f>IF(D94="","-",+C106+1)</f>
        <v>2025</v>
      </c>
      <c r="D107" s="11">
        <f>IF(F106+SUM(E$100:E106)=D$93,F106,D$93-SUM(E$100:E106))</f>
        <v>0</v>
      </c>
      <c r="E107" s="55">
        <f t="shared" si="21"/>
        <v>0</v>
      </c>
      <c r="F107" s="54">
        <f t="shared" si="22"/>
        <v>0</v>
      </c>
      <c r="G107" s="54">
        <f t="shared" si="23"/>
        <v>0</v>
      </c>
      <c r="H107" s="110">
        <f t="shared" si="16"/>
        <v>0</v>
      </c>
      <c r="I107" s="119">
        <f t="shared" si="24"/>
        <v>0</v>
      </c>
      <c r="J107" s="53">
        <f t="shared" si="17"/>
        <v>0</v>
      </c>
      <c r="K107" s="53"/>
      <c r="L107" s="112"/>
      <c r="M107" s="53">
        <f t="shared" si="18"/>
        <v>0</v>
      </c>
      <c r="N107" s="112"/>
      <c r="O107" s="53">
        <f t="shared" si="19"/>
        <v>0</v>
      </c>
      <c r="P107" s="53">
        <f t="shared" si="20"/>
        <v>0</v>
      </c>
    </row>
    <row r="108" spans="1:16">
      <c r="B108" t="str">
        <f t="shared" si="15"/>
        <v/>
      </c>
      <c r="C108" s="49">
        <f>IF(D94="","-",+C107+1)</f>
        <v>2026</v>
      </c>
      <c r="D108" s="11">
        <f>IF(F107+SUM(E$100:E107)=D$93,F107,D$93-SUM(E$100:E107))</f>
        <v>0</v>
      </c>
      <c r="E108" s="55">
        <f t="shared" si="21"/>
        <v>0</v>
      </c>
      <c r="F108" s="54">
        <f t="shared" si="22"/>
        <v>0</v>
      </c>
      <c r="G108" s="54">
        <f t="shared" si="23"/>
        <v>0</v>
      </c>
      <c r="H108" s="110">
        <f t="shared" si="16"/>
        <v>0</v>
      </c>
      <c r="I108" s="119">
        <f t="shared" si="24"/>
        <v>0</v>
      </c>
      <c r="J108" s="53">
        <f t="shared" si="17"/>
        <v>0</v>
      </c>
      <c r="K108" s="53"/>
      <c r="L108" s="112"/>
      <c r="M108" s="53">
        <f t="shared" si="18"/>
        <v>0</v>
      </c>
      <c r="N108" s="112"/>
      <c r="O108" s="53">
        <f t="shared" si="19"/>
        <v>0</v>
      </c>
      <c r="P108" s="53">
        <f t="shared" si="20"/>
        <v>0</v>
      </c>
    </row>
    <row r="109" spans="1:16">
      <c r="B109" t="str">
        <f t="shared" si="15"/>
        <v/>
      </c>
      <c r="C109" s="49">
        <f>IF(D94="","-",+C108+1)</f>
        <v>2027</v>
      </c>
      <c r="D109" s="11">
        <f>IF(F108+SUM(E$100:E108)=D$93,F108,D$93-SUM(E$100:E108))</f>
        <v>0</v>
      </c>
      <c r="E109" s="55">
        <f t="shared" si="21"/>
        <v>0</v>
      </c>
      <c r="F109" s="54">
        <f t="shared" si="22"/>
        <v>0</v>
      </c>
      <c r="G109" s="54">
        <f t="shared" si="23"/>
        <v>0</v>
      </c>
      <c r="H109" s="110">
        <f t="shared" si="16"/>
        <v>0</v>
      </c>
      <c r="I109" s="119">
        <f t="shared" si="24"/>
        <v>0</v>
      </c>
      <c r="J109" s="53">
        <f t="shared" si="17"/>
        <v>0</v>
      </c>
      <c r="K109" s="53"/>
      <c r="L109" s="112"/>
      <c r="M109" s="53">
        <f t="shared" si="18"/>
        <v>0</v>
      </c>
      <c r="N109" s="112"/>
      <c r="O109" s="53">
        <f t="shared" si="19"/>
        <v>0</v>
      </c>
      <c r="P109" s="53">
        <f t="shared" si="20"/>
        <v>0</v>
      </c>
    </row>
    <row r="110" spans="1:16">
      <c r="B110" t="str">
        <f t="shared" si="15"/>
        <v/>
      </c>
      <c r="C110" s="49">
        <f>IF(D94="","-",+C109+1)</f>
        <v>2028</v>
      </c>
      <c r="D110" s="11">
        <f>IF(F109+SUM(E$100:E109)=D$93,F109,D$93-SUM(E$100:E109))</f>
        <v>0</v>
      </c>
      <c r="E110" s="55">
        <f t="shared" si="21"/>
        <v>0</v>
      </c>
      <c r="F110" s="54">
        <f t="shared" si="22"/>
        <v>0</v>
      </c>
      <c r="G110" s="54">
        <f t="shared" si="23"/>
        <v>0</v>
      </c>
      <c r="H110" s="110">
        <f t="shared" si="16"/>
        <v>0</v>
      </c>
      <c r="I110" s="119">
        <f t="shared" si="24"/>
        <v>0</v>
      </c>
      <c r="J110" s="53">
        <f t="shared" si="17"/>
        <v>0</v>
      </c>
      <c r="K110" s="53"/>
      <c r="L110" s="112"/>
      <c r="M110" s="53">
        <f t="shared" si="18"/>
        <v>0</v>
      </c>
      <c r="N110" s="112"/>
      <c r="O110" s="53">
        <f t="shared" si="19"/>
        <v>0</v>
      </c>
      <c r="P110" s="53">
        <f t="shared" si="20"/>
        <v>0</v>
      </c>
    </row>
    <row r="111" spans="1:16">
      <c r="B111" t="str">
        <f t="shared" si="15"/>
        <v/>
      </c>
      <c r="C111" s="49">
        <f>IF(D94="","-",+C110+1)</f>
        <v>2029</v>
      </c>
      <c r="D111" s="11">
        <f>IF(F110+SUM(E$100:E110)=D$93,F110,D$93-SUM(E$100:E110))</f>
        <v>0</v>
      </c>
      <c r="E111" s="55">
        <f t="shared" si="21"/>
        <v>0</v>
      </c>
      <c r="F111" s="54">
        <f t="shared" si="22"/>
        <v>0</v>
      </c>
      <c r="G111" s="54">
        <f t="shared" si="23"/>
        <v>0</v>
      </c>
      <c r="H111" s="110">
        <f t="shared" si="16"/>
        <v>0</v>
      </c>
      <c r="I111" s="119">
        <f t="shared" si="24"/>
        <v>0</v>
      </c>
      <c r="J111" s="53">
        <f t="shared" si="17"/>
        <v>0</v>
      </c>
      <c r="K111" s="53"/>
      <c r="L111" s="112"/>
      <c r="M111" s="53">
        <f t="shared" si="18"/>
        <v>0</v>
      </c>
      <c r="N111" s="112"/>
      <c r="O111" s="53">
        <f t="shared" si="19"/>
        <v>0</v>
      </c>
      <c r="P111" s="53">
        <f t="shared" si="20"/>
        <v>0</v>
      </c>
    </row>
    <row r="112" spans="1:16">
      <c r="B112" t="str">
        <f t="shared" si="15"/>
        <v/>
      </c>
      <c r="C112" s="49">
        <f>IF(D94="","-",+C111+1)</f>
        <v>2030</v>
      </c>
      <c r="D112" s="11">
        <f>IF(F111+SUM(E$100:E111)=D$93,F111,D$93-SUM(E$100:E111))</f>
        <v>0</v>
      </c>
      <c r="E112" s="55">
        <f t="shared" si="21"/>
        <v>0</v>
      </c>
      <c r="F112" s="54">
        <f t="shared" si="22"/>
        <v>0</v>
      </c>
      <c r="G112" s="54">
        <f t="shared" si="23"/>
        <v>0</v>
      </c>
      <c r="H112" s="110">
        <f t="shared" si="16"/>
        <v>0</v>
      </c>
      <c r="I112" s="119">
        <f t="shared" si="24"/>
        <v>0</v>
      </c>
      <c r="J112" s="53">
        <f t="shared" si="17"/>
        <v>0</v>
      </c>
      <c r="K112" s="53"/>
      <c r="L112" s="112"/>
      <c r="M112" s="53">
        <f t="shared" si="18"/>
        <v>0</v>
      </c>
      <c r="N112" s="112"/>
      <c r="O112" s="53">
        <f t="shared" si="19"/>
        <v>0</v>
      </c>
      <c r="P112" s="53">
        <f t="shared" si="20"/>
        <v>0</v>
      </c>
    </row>
    <row r="113" spans="2:16">
      <c r="B113" t="str">
        <f t="shared" si="15"/>
        <v/>
      </c>
      <c r="C113" s="49">
        <f>IF(D94="","-",+C112+1)</f>
        <v>2031</v>
      </c>
      <c r="D113" s="11">
        <f>IF(F112+SUM(E$100:E112)=D$93,F112,D$93-SUM(E$100:E112))</f>
        <v>0</v>
      </c>
      <c r="E113" s="55">
        <f t="shared" si="21"/>
        <v>0</v>
      </c>
      <c r="F113" s="54">
        <f t="shared" si="22"/>
        <v>0</v>
      </c>
      <c r="G113" s="54">
        <f t="shared" si="23"/>
        <v>0</v>
      </c>
      <c r="H113" s="110">
        <f t="shared" si="16"/>
        <v>0</v>
      </c>
      <c r="I113" s="119">
        <f t="shared" si="24"/>
        <v>0</v>
      </c>
      <c r="J113" s="53">
        <f t="shared" si="17"/>
        <v>0</v>
      </c>
      <c r="K113" s="53"/>
      <c r="L113" s="112"/>
      <c r="M113" s="53">
        <f t="shared" si="18"/>
        <v>0</v>
      </c>
      <c r="N113" s="112"/>
      <c r="O113" s="53">
        <f t="shared" si="19"/>
        <v>0</v>
      </c>
      <c r="P113" s="53">
        <f t="shared" si="20"/>
        <v>0</v>
      </c>
    </row>
    <row r="114" spans="2:16">
      <c r="B114" t="str">
        <f t="shared" si="15"/>
        <v/>
      </c>
      <c r="C114" s="49">
        <f>IF(D94="","-",+C113+1)</f>
        <v>2032</v>
      </c>
      <c r="D114" s="11">
        <f>IF(F113+SUM(E$100:E113)=D$93,F113,D$93-SUM(E$100:E113))</f>
        <v>0</v>
      </c>
      <c r="E114" s="55">
        <f t="shared" si="21"/>
        <v>0</v>
      </c>
      <c r="F114" s="54">
        <f t="shared" si="22"/>
        <v>0</v>
      </c>
      <c r="G114" s="54">
        <f t="shared" si="23"/>
        <v>0</v>
      </c>
      <c r="H114" s="110">
        <f t="shared" si="16"/>
        <v>0</v>
      </c>
      <c r="I114" s="119">
        <f t="shared" si="24"/>
        <v>0</v>
      </c>
      <c r="J114" s="53">
        <f t="shared" si="17"/>
        <v>0</v>
      </c>
      <c r="K114" s="53"/>
      <c r="L114" s="112"/>
      <c r="M114" s="53">
        <f t="shared" si="18"/>
        <v>0</v>
      </c>
      <c r="N114" s="112"/>
      <c r="O114" s="53">
        <f t="shared" si="19"/>
        <v>0</v>
      </c>
      <c r="P114" s="53">
        <f t="shared" si="20"/>
        <v>0</v>
      </c>
    </row>
    <row r="115" spans="2:16">
      <c r="B115" t="str">
        <f t="shared" si="15"/>
        <v/>
      </c>
      <c r="C115" s="49">
        <f>IF(D94="","-",+C114+1)</f>
        <v>2033</v>
      </c>
      <c r="D115" s="11">
        <f>IF(F114+SUM(E$100:E114)=D$93,F114,D$93-SUM(E$100:E114))</f>
        <v>0</v>
      </c>
      <c r="E115" s="55">
        <f t="shared" si="21"/>
        <v>0</v>
      </c>
      <c r="F115" s="54">
        <f t="shared" si="22"/>
        <v>0</v>
      </c>
      <c r="G115" s="54">
        <f t="shared" si="23"/>
        <v>0</v>
      </c>
      <c r="H115" s="110">
        <f t="shared" si="16"/>
        <v>0</v>
      </c>
      <c r="I115" s="119">
        <f t="shared" si="24"/>
        <v>0</v>
      </c>
      <c r="J115" s="53">
        <f t="shared" si="17"/>
        <v>0</v>
      </c>
      <c r="K115" s="53"/>
      <c r="L115" s="112"/>
      <c r="M115" s="53">
        <f t="shared" si="18"/>
        <v>0</v>
      </c>
      <c r="N115" s="112"/>
      <c r="O115" s="53">
        <f t="shared" si="19"/>
        <v>0</v>
      </c>
      <c r="P115" s="53">
        <f t="shared" si="20"/>
        <v>0</v>
      </c>
    </row>
    <row r="116" spans="2:16">
      <c r="B116" t="str">
        <f t="shared" si="15"/>
        <v/>
      </c>
      <c r="C116" s="49">
        <f>IF(D94="","-",+C115+1)</f>
        <v>2034</v>
      </c>
      <c r="D116" s="11">
        <f>IF(F115+SUM(E$100:E115)=D$93,F115,D$93-SUM(E$100:E115))</f>
        <v>0</v>
      </c>
      <c r="E116" s="55">
        <f t="shared" si="21"/>
        <v>0</v>
      </c>
      <c r="F116" s="54">
        <f t="shared" si="22"/>
        <v>0</v>
      </c>
      <c r="G116" s="54">
        <f t="shared" si="23"/>
        <v>0</v>
      </c>
      <c r="H116" s="110">
        <f t="shared" si="16"/>
        <v>0</v>
      </c>
      <c r="I116" s="119">
        <f t="shared" si="24"/>
        <v>0</v>
      </c>
      <c r="J116" s="53">
        <f t="shared" si="17"/>
        <v>0</v>
      </c>
      <c r="K116" s="53"/>
      <c r="L116" s="112"/>
      <c r="M116" s="53">
        <f t="shared" si="18"/>
        <v>0</v>
      </c>
      <c r="N116" s="112"/>
      <c r="O116" s="53">
        <f t="shared" si="19"/>
        <v>0</v>
      </c>
      <c r="P116" s="53">
        <f t="shared" si="20"/>
        <v>0</v>
      </c>
    </row>
    <row r="117" spans="2:16">
      <c r="B117" t="str">
        <f t="shared" si="15"/>
        <v/>
      </c>
      <c r="C117" s="49">
        <f>IF(D94="","-",+C116+1)</f>
        <v>2035</v>
      </c>
      <c r="D117" s="11">
        <f>IF(F116+SUM(E$100:E116)=D$93,F116,D$93-SUM(E$100:E116))</f>
        <v>0</v>
      </c>
      <c r="E117" s="55">
        <f t="shared" si="21"/>
        <v>0</v>
      </c>
      <c r="F117" s="54">
        <f t="shared" si="22"/>
        <v>0</v>
      </c>
      <c r="G117" s="54">
        <f t="shared" si="23"/>
        <v>0</v>
      </c>
      <c r="H117" s="110">
        <f t="shared" si="16"/>
        <v>0</v>
      </c>
      <c r="I117" s="119">
        <f t="shared" si="24"/>
        <v>0</v>
      </c>
      <c r="J117" s="53">
        <f t="shared" si="17"/>
        <v>0</v>
      </c>
      <c r="K117" s="53"/>
      <c r="L117" s="112"/>
      <c r="M117" s="53">
        <f t="shared" si="18"/>
        <v>0</v>
      </c>
      <c r="N117" s="112"/>
      <c r="O117" s="53">
        <f t="shared" si="19"/>
        <v>0</v>
      </c>
      <c r="P117" s="53">
        <f t="shared" si="20"/>
        <v>0</v>
      </c>
    </row>
    <row r="118" spans="2:16">
      <c r="B118" t="str">
        <f t="shared" si="15"/>
        <v/>
      </c>
      <c r="C118" s="49">
        <f>IF(D94="","-",+C117+1)</f>
        <v>2036</v>
      </c>
      <c r="D118" s="11">
        <f>IF(F117+SUM(E$100:E117)=D$93,F117,D$93-SUM(E$100:E117))</f>
        <v>0</v>
      </c>
      <c r="E118" s="55">
        <f t="shared" si="21"/>
        <v>0</v>
      </c>
      <c r="F118" s="54">
        <f t="shared" si="22"/>
        <v>0</v>
      </c>
      <c r="G118" s="54">
        <f t="shared" si="23"/>
        <v>0</v>
      </c>
      <c r="H118" s="110">
        <f t="shared" si="16"/>
        <v>0</v>
      </c>
      <c r="I118" s="119">
        <f t="shared" si="24"/>
        <v>0</v>
      </c>
      <c r="J118" s="53">
        <f t="shared" si="17"/>
        <v>0</v>
      </c>
      <c r="K118" s="53"/>
      <c r="L118" s="112"/>
      <c r="M118" s="53">
        <f t="shared" si="18"/>
        <v>0</v>
      </c>
      <c r="N118" s="112"/>
      <c r="O118" s="53">
        <f t="shared" si="19"/>
        <v>0</v>
      </c>
      <c r="P118" s="53">
        <f t="shared" si="20"/>
        <v>0</v>
      </c>
    </row>
    <row r="119" spans="2:16">
      <c r="B119" t="str">
        <f t="shared" si="15"/>
        <v/>
      </c>
      <c r="C119" s="49">
        <f>IF(D94="","-",+C118+1)</f>
        <v>2037</v>
      </c>
      <c r="D119" s="11">
        <f>IF(F118+SUM(E$100:E118)=D$93,F118,D$93-SUM(E$100:E118))</f>
        <v>0</v>
      </c>
      <c r="E119" s="55">
        <f t="shared" si="21"/>
        <v>0</v>
      </c>
      <c r="F119" s="54">
        <f t="shared" si="22"/>
        <v>0</v>
      </c>
      <c r="G119" s="54">
        <f t="shared" si="23"/>
        <v>0</v>
      </c>
      <c r="H119" s="110">
        <f t="shared" si="16"/>
        <v>0</v>
      </c>
      <c r="I119" s="119">
        <f t="shared" si="24"/>
        <v>0</v>
      </c>
      <c r="J119" s="53">
        <f t="shared" si="17"/>
        <v>0</v>
      </c>
      <c r="K119" s="53"/>
      <c r="L119" s="112"/>
      <c r="M119" s="53">
        <f t="shared" si="18"/>
        <v>0</v>
      </c>
      <c r="N119" s="112"/>
      <c r="O119" s="53">
        <f t="shared" si="19"/>
        <v>0</v>
      </c>
      <c r="P119" s="53">
        <f t="shared" si="20"/>
        <v>0</v>
      </c>
    </row>
    <row r="120" spans="2:16">
      <c r="B120" t="str">
        <f t="shared" si="15"/>
        <v/>
      </c>
      <c r="C120" s="49">
        <f>IF(D94="","-",+C119+1)</f>
        <v>2038</v>
      </c>
      <c r="D120" s="11">
        <f>IF(F119+SUM(E$100:E119)=D$93,F119,D$93-SUM(E$100:E119))</f>
        <v>0</v>
      </c>
      <c r="E120" s="55">
        <f t="shared" si="21"/>
        <v>0</v>
      </c>
      <c r="F120" s="54">
        <f t="shared" si="22"/>
        <v>0</v>
      </c>
      <c r="G120" s="54">
        <f t="shared" si="23"/>
        <v>0</v>
      </c>
      <c r="H120" s="110">
        <f t="shared" si="16"/>
        <v>0</v>
      </c>
      <c r="I120" s="119">
        <f t="shared" si="24"/>
        <v>0</v>
      </c>
      <c r="J120" s="53">
        <f t="shared" si="17"/>
        <v>0</v>
      </c>
      <c r="K120" s="53"/>
      <c r="L120" s="112"/>
      <c r="M120" s="53">
        <f t="shared" si="18"/>
        <v>0</v>
      </c>
      <c r="N120" s="112"/>
      <c r="O120" s="53">
        <f t="shared" si="19"/>
        <v>0</v>
      </c>
      <c r="P120" s="53">
        <f t="shared" si="20"/>
        <v>0</v>
      </c>
    </row>
    <row r="121" spans="2:16">
      <c r="B121" t="str">
        <f t="shared" si="15"/>
        <v/>
      </c>
      <c r="C121" s="49">
        <f>IF(D94="","-",+C120+1)</f>
        <v>2039</v>
      </c>
      <c r="D121" s="11">
        <f>IF(F120+SUM(E$100:E120)=D$93,F120,D$93-SUM(E$100:E120))</f>
        <v>0</v>
      </c>
      <c r="E121" s="55">
        <f t="shared" si="21"/>
        <v>0</v>
      </c>
      <c r="F121" s="54">
        <f t="shared" si="22"/>
        <v>0</v>
      </c>
      <c r="G121" s="54">
        <f t="shared" si="23"/>
        <v>0</v>
      </c>
      <c r="H121" s="110">
        <f t="shared" si="16"/>
        <v>0</v>
      </c>
      <c r="I121" s="119">
        <f t="shared" si="24"/>
        <v>0</v>
      </c>
      <c r="J121" s="53">
        <f t="shared" si="17"/>
        <v>0</v>
      </c>
      <c r="K121" s="53"/>
      <c r="L121" s="112"/>
      <c r="M121" s="53">
        <f t="shared" si="18"/>
        <v>0</v>
      </c>
      <c r="N121" s="112"/>
      <c r="O121" s="53">
        <f t="shared" si="19"/>
        <v>0</v>
      </c>
      <c r="P121" s="53">
        <f t="shared" si="20"/>
        <v>0</v>
      </c>
    </row>
    <row r="122" spans="2:16">
      <c r="B122" t="str">
        <f t="shared" si="15"/>
        <v/>
      </c>
      <c r="C122" s="49">
        <f>IF(D94="","-",+C121+1)</f>
        <v>2040</v>
      </c>
      <c r="D122" s="11">
        <f>IF(F121+SUM(E$100:E121)=D$93,F121,D$93-SUM(E$100:E121))</f>
        <v>0</v>
      </c>
      <c r="E122" s="55">
        <f t="shared" si="21"/>
        <v>0</v>
      </c>
      <c r="F122" s="54">
        <f t="shared" si="22"/>
        <v>0</v>
      </c>
      <c r="G122" s="54">
        <f t="shared" si="23"/>
        <v>0</v>
      </c>
      <c r="H122" s="110">
        <f t="shared" si="16"/>
        <v>0</v>
      </c>
      <c r="I122" s="119">
        <f t="shared" si="24"/>
        <v>0</v>
      </c>
      <c r="J122" s="53">
        <f t="shared" si="17"/>
        <v>0</v>
      </c>
      <c r="K122" s="53"/>
      <c r="L122" s="112"/>
      <c r="M122" s="53">
        <f t="shared" si="18"/>
        <v>0</v>
      </c>
      <c r="N122" s="112"/>
      <c r="O122" s="53">
        <f t="shared" si="19"/>
        <v>0</v>
      </c>
      <c r="P122" s="53">
        <f t="shared" si="20"/>
        <v>0</v>
      </c>
    </row>
    <row r="123" spans="2:16">
      <c r="B123" t="str">
        <f t="shared" si="15"/>
        <v/>
      </c>
      <c r="C123" s="49">
        <f>IF(D94="","-",+C122+1)</f>
        <v>2041</v>
      </c>
      <c r="D123" s="11">
        <f>IF(F122+SUM(E$100:E122)=D$93,F122,D$93-SUM(E$100:E122))</f>
        <v>0</v>
      </c>
      <c r="E123" s="55">
        <f t="shared" si="21"/>
        <v>0</v>
      </c>
      <c r="F123" s="54">
        <f t="shared" si="22"/>
        <v>0</v>
      </c>
      <c r="G123" s="54">
        <f t="shared" si="23"/>
        <v>0</v>
      </c>
      <c r="H123" s="110">
        <f t="shared" si="16"/>
        <v>0</v>
      </c>
      <c r="I123" s="119">
        <f t="shared" si="24"/>
        <v>0</v>
      </c>
      <c r="J123" s="53">
        <f t="shared" si="17"/>
        <v>0</v>
      </c>
      <c r="K123" s="53"/>
      <c r="L123" s="112"/>
      <c r="M123" s="53">
        <f t="shared" si="18"/>
        <v>0</v>
      </c>
      <c r="N123" s="112"/>
      <c r="O123" s="53">
        <f t="shared" si="19"/>
        <v>0</v>
      </c>
      <c r="P123" s="53">
        <f t="shared" si="20"/>
        <v>0</v>
      </c>
    </row>
    <row r="124" spans="2:16">
      <c r="B124" t="str">
        <f t="shared" si="15"/>
        <v/>
      </c>
      <c r="C124" s="49">
        <f>IF(D94="","-",+C123+1)</f>
        <v>2042</v>
      </c>
      <c r="D124" s="11">
        <f>IF(F123+SUM(E$100:E123)=D$93,F123,D$93-SUM(E$100:E123))</f>
        <v>0</v>
      </c>
      <c r="E124" s="55">
        <f t="shared" si="21"/>
        <v>0</v>
      </c>
      <c r="F124" s="54">
        <f t="shared" si="22"/>
        <v>0</v>
      </c>
      <c r="G124" s="54">
        <f t="shared" si="23"/>
        <v>0</v>
      </c>
      <c r="H124" s="110">
        <f t="shared" si="16"/>
        <v>0</v>
      </c>
      <c r="I124" s="119">
        <f t="shared" si="24"/>
        <v>0</v>
      </c>
      <c r="J124" s="53">
        <f t="shared" si="17"/>
        <v>0</v>
      </c>
      <c r="K124" s="53"/>
      <c r="L124" s="112"/>
      <c r="M124" s="53">
        <f t="shared" si="18"/>
        <v>0</v>
      </c>
      <c r="N124" s="112"/>
      <c r="O124" s="53">
        <f t="shared" si="19"/>
        <v>0</v>
      </c>
      <c r="P124" s="53">
        <f t="shared" si="20"/>
        <v>0</v>
      </c>
    </row>
    <row r="125" spans="2:16">
      <c r="B125" t="str">
        <f t="shared" si="15"/>
        <v/>
      </c>
      <c r="C125" s="49">
        <f>IF(D94="","-",+C124+1)</f>
        <v>2043</v>
      </c>
      <c r="D125" s="11">
        <f>IF(F124+SUM(E$100:E124)=D$93,F124,D$93-SUM(E$100:E124))</f>
        <v>0</v>
      </c>
      <c r="E125" s="55">
        <f t="shared" si="21"/>
        <v>0</v>
      </c>
      <c r="F125" s="54">
        <f t="shared" si="22"/>
        <v>0</v>
      </c>
      <c r="G125" s="54">
        <f t="shared" si="23"/>
        <v>0</v>
      </c>
      <c r="H125" s="110">
        <f t="shared" si="16"/>
        <v>0</v>
      </c>
      <c r="I125" s="119">
        <f t="shared" si="24"/>
        <v>0</v>
      </c>
      <c r="J125" s="53">
        <f t="shared" si="17"/>
        <v>0</v>
      </c>
      <c r="K125" s="53"/>
      <c r="L125" s="112"/>
      <c r="M125" s="53">
        <f t="shared" si="18"/>
        <v>0</v>
      </c>
      <c r="N125" s="112"/>
      <c r="O125" s="53">
        <f t="shared" si="19"/>
        <v>0</v>
      </c>
      <c r="P125" s="53">
        <f t="shared" si="20"/>
        <v>0</v>
      </c>
    </row>
    <row r="126" spans="2:16">
      <c r="B126" t="str">
        <f t="shared" si="15"/>
        <v/>
      </c>
      <c r="C126" s="49">
        <f>IF(D94="","-",+C125+1)</f>
        <v>2044</v>
      </c>
      <c r="D126" s="11">
        <f>IF(F125+SUM(E$100:E125)=D$93,F125,D$93-SUM(E$100:E125))</f>
        <v>0</v>
      </c>
      <c r="E126" s="55">
        <f t="shared" si="21"/>
        <v>0</v>
      </c>
      <c r="F126" s="54">
        <f t="shared" si="22"/>
        <v>0</v>
      </c>
      <c r="G126" s="54">
        <f t="shared" si="23"/>
        <v>0</v>
      </c>
      <c r="H126" s="110">
        <f t="shared" si="16"/>
        <v>0</v>
      </c>
      <c r="I126" s="119">
        <f t="shared" si="24"/>
        <v>0</v>
      </c>
      <c r="J126" s="53">
        <f t="shared" si="17"/>
        <v>0</v>
      </c>
      <c r="K126" s="53"/>
      <c r="L126" s="112"/>
      <c r="M126" s="53">
        <f t="shared" si="18"/>
        <v>0</v>
      </c>
      <c r="N126" s="112"/>
      <c r="O126" s="53">
        <f t="shared" si="19"/>
        <v>0</v>
      </c>
      <c r="P126" s="53">
        <f t="shared" si="20"/>
        <v>0</v>
      </c>
    </row>
    <row r="127" spans="2:16">
      <c r="B127" t="str">
        <f t="shared" si="15"/>
        <v/>
      </c>
      <c r="C127" s="49">
        <f>IF(D94="","-",+C126+1)</f>
        <v>2045</v>
      </c>
      <c r="D127" s="11">
        <f>IF(F126+SUM(E$100:E126)=D$93,F126,D$93-SUM(E$100:E126))</f>
        <v>0</v>
      </c>
      <c r="E127" s="55">
        <f t="shared" si="21"/>
        <v>0</v>
      </c>
      <c r="F127" s="54">
        <f t="shared" si="22"/>
        <v>0</v>
      </c>
      <c r="G127" s="54">
        <f t="shared" si="23"/>
        <v>0</v>
      </c>
      <c r="H127" s="110">
        <f t="shared" si="16"/>
        <v>0</v>
      </c>
      <c r="I127" s="119">
        <f t="shared" si="24"/>
        <v>0</v>
      </c>
      <c r="J127" s="53">
        <f t="shared" si="17"/>
        <v>0</v>
      </c>
      <c r="K127" s="53"/>
      <c r="L127" s="112"/>
      <c r="M127" s="53">
        <f t="shared" si="18"/>
        <v>0</v>
      </c>
      <c r="N127" s="112"/>
      <c r="O127" s="53">
        <f t="shared" si="19"/>
        <v>0</v>
      </c>
      <c r="P127" s="53">
        <f t="shared" si="20"/>
        <v>0</v>
      </c>
    </row>
    <row r="128" spans="2:16">
      <c r="B128" t="str">
        <f t="shared" si="15"/>
        <v/>
      </c>
      <c r="C128" s="49">
        <f>IF(D94="","-",+C127+1)</f>
        <v>2046</v>
      </c>
      <c r="D128" s="11">
        <f>IF(F127+SUM(E$100:E127)=D$93,F127,D$93-SUM(E$100:E127))</f>
        <v>0</v>
      </c>
      <c r="E128" s="55">
        <f t="shared" si="21"/>
        <v>0</v>
      </c>
      <c r="F128" s="54">
        <f t="shared" si="22"/>
        <v>0</v>
      </c>
      <c r="G128" s="54">
        <f t="shared" si="23"/>
        <v>0</v>
      </c>
      <c r="H128" s="110">
        <f t="shared" si="16"/>
        <v>0</v>
      </c>
      <c r="I128" s="119">
        <f t="shared" si="24"/>
        <v>0</v>
      </c>
      <c r="J128" s="53">
        <f t="shared" si="17"/>
        <v>0</v>
      </c>
      <c r="K128" s="53"/>
      <c r="L128" s="112"/>
      <c r="M128" s="53">
        <f t="shared" si="18"/>
        <v>0</v>
      </c>
      <c r="N128" s="112"/>
      <c r="O128" s="53">
        <f t="shared" si="19"/>
        <v>0</v>
      </c>
      <c r="P128" s="53">
        <f t="shared" si="20"/>
        <v>0</v>
      </c>
    </row>
    <row r="129" spans="2:16">
      <c r="B129" t="str">
        <f t="shared" si="15"/>
        <v/>
      </c>
      <c r="C129" s="49">
        <f>IF(D94="","-",+C128+1)</f>
        <v>2047</v>
      </c>
      <c r="D129" s="11">
        <f>IF(F128+SUM(E$100:E128)=D$93,F128,D$93-SUM(E$100:E128))</f>
        <v>0</v>
      </c>
      <c r="E129" s="55">
        <f t="shared" si="21"/>
        <v>0</v>
      </c>
      <c r="F129" s="54">
        <f t="shared" si="22"/>
        <v>0</v>
      </c>
      <c r="G129" s="54">
        <f t="shared" si="23"/>
        <v>0</v>
      </c>
      <c r="H129" s="110">
        <f t="shared" si="16"/>
        <v>0</v>
      </c>
      <c r="I129" s="119">
        <f t="shared" si="24"/>
        <v>0</v>
      </c>
      <c r="J129" s="53">
        <f t="shared" si="17"/>
        <v>0</v>
      </c>
      <c r="K129" s="53"/>
      <c r="L129" s="112"/>
      <c r="M129" s="53">
        <f t="shared" si="18"/>
        <v>0</v>
      </c>
      <c r="N129" s="112"/>
      <c r="O129" s="53">
        <f t="shared" si="19"/>
        <v>0</v>
      </c>
      <c r="P129" s="53">
        <f t="shared" si="20"/>
        <v>0</v>
      </c>
    </row>
    <row r="130" spans="2:16">
      <c r="B130" t="str">
        <f t="shared" si="15"/>
        <v/>
      </c>
      <c r="C130" s="49">
        <f>IF(D94="","-",+C129+1)</f>
        <v>2048</v>
      </c>
      <c r="D130" s="11">
        <f>IF(F129+SUM(E$100:E129)=D$93,F129,D$93-SUM(E$100:E129))</f>
        <v>0</v>
      </c>
      <c r="E130" s="55">
        <f t="shared" si="21"/>
        <v>0</v>
      </c>
      <c r="F130" s="54">
        <f t="shared" si="22"/>
        <v>0</v>
      </c>
      <c r="G130" s="54">
        <f t="shared" si="23"/>
        <v>0</v>
      </c>
      <c r="H130" s="110">
        <f t="shared" si="16"/>
        <v>0</v>
      </c>
      <c r="I130" s="119">
        <f t="shared" si="24"/>
        <v>0</v>
      </c>
      <c r="J130" s="53">
        <f t="shared" si="17"/>
        <v>0</v>
      </c>
      <c r="K130" s="53"/>
      <c r="L130" s="112"/>
      <c r="M130" s="53">
        <f t="shared" si="18"/>
        <v>0</v>
      </c>
      <c r="N130" s="112"/>
      <c r="O130" s="53">
        <f t="shared" si="19"/>
        <v>0</v>
      </c>
      <c r="P130" s="53">
        <f t="shared" si="20"/>
        <v>0</v>
      </c>
    </row>
    <row r="131" spans="2:16">
      <c r="B131" t="str">
        <f t="shared" si="15"/>
        <v/>
      </c>
      <c r="C131" s="49">
        <f>IF(D94="","-",+C130+1)</f>
        <v>2049</v>
      </c>
      <c r="D131" s="11">
        <f>IF(F130+SUM(E$100:E130)=D$93,F130,D$93-SUM(E$100:E130))</f>
        <v>0</v>
      </c>
      <c r="E131" s="55">
        <f t="shared" si="21"/>
        <v>0</v>
      </c>
      <c r="F131" s="54">
        <f t="shared" si="22"/>
        <v>0</v>
      </c>
      <c r="G131" s="54">
        <f t="shared" si="23"/>
        <v>0</v>
      </c>
      <c r="H131" s="110">
        <f t="shared" si="16"/>
        <v>0</v>
      </c>
      <c r="I131" s="119">
        <f t="shared" si="24"/>
        <v>0</v>
      </c>
      <c r="J131" s="53">
        <f t="shared" si="17"/>
        <v>0</v>
      </c>
      <c r="K131" s="53"/>
      <c r="L131" s="112"/>
      <c r="M131" s="53">
        <f t="shared" si="18"/>
        <v>0</v>
      </c>
      <c r="N131" s="112"/>
      <c r="O131" s="53">
        <f t="shared" si="19"/>
        <v>0</v>
      </c>
      <c r="P131" s="53">
        <f t="shared" si="20"/>
        <v>0</v>
      </c>
    </row>
    <row r="132" spans="2:16">
      <c r="B132" t="str">
        <f t="shared" si="15"/>
        <v/>
      </c>
      <c r="C132" s="49">
        <f>IF(D94="","-",+C131+1)</f>
        <v>2050</v>
      </c>
      <c r="D132" s="11">
        <f>IF(F131+SUM(E$100:E131)=D$93,F131,D$93-SUM(E$100:E131))</f>
        <v>0</v>
      </c>
      <c r="E132" s="55">
        <f t="shared" si="21"/>
        <v>0</v>
      </c>
      <c r="F132" s="54">
        <f t="shared" ref="F132:F155" si="25">+D132-E132</f>
        <v>0</v>
      </c>
      <c r="G132" s="54">
        <f t="shared" ref="G132:G155" si="26">+(F132+D132)/2</f>
        <v>0</v>
      </c>
      <c r="H132" s="110">
        <f t="shared" si="16"/>
        <v>0</v>
      </c>
      <c r="I132" s="119">
        <f t="shared" si="24"/>
        <v>0</v>
      </c>
      <c r="J132" s="53">
        <f t="shared" ref="J132:J155" si="27">+I542-H542</f>
        <v>0</v>
      </c>
      <c r="K132" s="53"/>
      <c r="L132" s="112"/>
      <c r="M132" s="53">
        <f t="shared" ref="M132:M155" si="28">IF(L542&lt;&gt;0,+H542-L542,0)</f>
        <v>0</v>
      </c>
      <c r="N132" s="112"/>
      <c r="O132" s="53">
        <f t="shared" ref="O132:O155" si="29">IF(N542&lt;&gt;0,+I542-N542,0)</f>
        <v>0</v>
      </c>
      <c r="P132" s="53">
        <f t="shared" ref="P132:P155" si="30">+O542-M542</f>
        <v>0</v>
      </c>
    </row>
    <row r="133" spans="2:16">
      <c r="B133" t="str">
        <f t="shared" si="15"/>
        <v/>
      </c>
      <c r="C133" s="49">
        <f>IF(D94="","-",+C132+1)</f>
        <v>2051</v>
      </c>
      <c r="D133" s="11">
        <f>IF(F132+SUM(E$100:E132)=D$93,F132,D$93-SUM(E$100:E132))</f>
        <v>0</v>
      </c>
      <c r="E133" s="55">
        <f t="shared" ref="E133:E155" si="31">IF(+J$97&lt;F132,J$97,D133)</f>
        <v>0</v>
      </c>
      <c r="F133" s="54">
        <f t="shared" si="25"/>
        <v>0</v>
      </c>
      <c r="G133" s="54">
        <f t="shared" si="26"/>
        <v>0</v>
      </c>
      <c r="H133" s="110">
        <f t="shared" si="16"/>
        <v>0</v>
      </c>
      <c r="I133" s="119">
        <f t="shared" si="24"/>
        <v>0</v>
      </c>
      <c r="J133" s="53">
        <f t="shared" si="27"/>
        <v>0</v>
      </c>
      <c r="K133" s="53"/>
      <c r="L133" s="112"/>
      <c r="M133" s="53">
        <f t="shared" si="28"/>
        <v>0</v>
      </c>
      <c r="N133" s="112"/>
      <c r="O133" s="53">
        <f t="shared" si="29"/>
        <v>0</v>
      </c>
      <c r="P133" s="53">
        <f t="shared" si="30"/>
        <v>0</v>
      </c>
    </row>
    <row r="134" spans="2:16">
      <c r="B134" t="str">
        <f t="shared" si="15"/>
        <v/>
      </c>
      <c r="C134" s="49">
        <f>IF(D94="","-",+C133+1)</f>
        <v>2052</v>
      </c>
      <c r="D134" s="11">
        <f>IF(F133+SUM(E$100:E133)=D$93,F133,D$93-SUM(E$100:E133))</f>
        <v>0</v>
      </c>
      <c r="E134" s="55">
        <f t="shared" si="31"/>
        <v>0</v>
      </c>
      <c r="F134" s="54">
        <f t="shared" si="25"/>
        <v>0</v>
      </c>
      <c r="G134" s="54">
        <f t="shared" si="26"/>
        <v>0</v>
      </c>
      <c r="H134" s="110">
        <f t="shared" si="16"/>
        <v>0</v>
      </c>
      <c r="I134" s="119">
        <f t="shared" si="24"/>
        <v>0</v>
      </c>
      <c r="J134" s="53">
        <f t="shared" si="27"/>
        <v>0</v>
      </c>
      <c r="K134" s="53"/>
      <c r="L134" s="112"/>
      <c r="M134" s="53">
        <f t="shared" si="28"/>
        <v>0</v>
      </c>
      <c r="N134" s="112"/>
      <c r="O134" s="53">
        <f t="shared" si="29"/>
        <v>0</v>
      </c>
      <c r="P134" s="53">
        <f t="shared" si="30"/>
        <v>0</v>
      </c>
    </row>
    <row r="135" spans="2:16">
      <c r="B135" t="str">
        <f t="shared" si="15"/>
        <v/>
      </c>
      <c r="C135" s="49">
        <f>IF(D94="","-",+C134+1)</f>
        <v>2053</v>
      </c>
      <c r="D135" s="11">
        <f>IF(F134+SUM(E$100:E134)=D$93,F134,D$93-SUM(E$100:E134))</f>
        <v>0</v>
      </c>
      <c r="E135" s="55">
        <f t="shared" si="31"/>
        <v>0</v>
      </c>
      <c r="F135" s="54">
        <f t="shared" si="25"/>
        <v>0</v>
      </c>
      <c r="G135" s="54">
        <f t="shared" si="26"/>
        <v>0</v>
      </c>
      <c r="H135" s="110">
        <f t="shared" si="16"/>
        <v>0</v>
      </c>
      <c r="I135" s="119">
        <f t="shared" si="24"/>
        <v>0</v>
      </c>
      <c r="J135" s="53">
        <f t="shared" si="27"/>
        <v>0</v>
      </c>
      <c r="K135" s="53"/>
      <c r="L135" s="112"/>
      <c r="M135" s="53">
        <f t="shared" si="28"/>
        <v>0</v>
      </c>
      <c r="N135" s="112"/>
      <c r="O135" s="53">
        <f t="shared" si="29"/>
        <v>0</v>
      </c>
      <c r="P135" s="53">
        <f t="shared" si="30"/>
        <v>0</v>
      </c>
    </row>
    <row r="136" spans="2:16">
      <c r="B136" t="str">
        <f t="shared" si="15"/>
        <v/>
      </c>
      <c r="C136" s="49">
        <f>IF(D94="","-",+C135+1)</f>
        <v>2054</v>
      </c>
      <c r="D136" s="11">
        <f>IF(F135+SUM(E$100:E135)=D$93,F135,D$93-SUM(E$100:E135))</f>
        <v>0</v>
      </c>
      <c r="E136" s="55">
        <f t="shared" si="31"/>
        <v>0</v>
      </c>
      <c r="F136" s="54">
        <f t="shared" si="25"/>
        <v>0</v>
      </c>
      <c r="G136" s="54">
        <f t="shared" si="26"/>
        <v>0</v>
      </c>
      <c r="H136" s="110">
        <f t="shared" si="16"/>
        <v>0</v>
      </c>
      <c r="I136" s="119">
        <f t="shared" si="24"/>
        <v>0</v>
      </c>
      <c r="J136" s="53">
        <f t="shared" si="27"/>
        <v>0</v>
      </c>
      <c r="K136" s="53"/>
      <c r="L136" s="112"/>
      <c r="M136" s="53">
        <f t="shared" si="28"/>
        <v>0</v>
      </c>
      <c r="N136" s="112"/>
      <c r="O136" s="53">
        <f t="shared" si="29"/>
        <v>0</v>
      </c>
      <c r="P136" s="53">
        <f t="shared" si="30"/>
        <v>0</v>
      </c>
    </row>
    <row r="137" spans="2:16">
      <c r="B137" t="str">
        <f t="shared" si="15"/>
        <v/>
      </c>
      <c r="C137" s="49">
        <f>IF(D94="","-",+C136+1)</f>
        <v>2055</v>
      </c>
      <c r="D137" s="11">
        <f>IF(F136+SUM(E$100:E136)=D$93,F136,D$93-SUM(E$100:E136))</f>
        <v>0</v>
      </c>
      <c r="E137" s="55">
        <f t="shared" si="31"/>
        <v>0</v>
      </c>
      <c r="F137" s="54">
        <f t="shared" si="25"/>
        <v>0</v>
      </c>
      <c r="G137" s="54">
        <f t="shared" si="26"/>
        <v>0</v>
      </c>
      <c r="H137" s="110">
        <f t="shared" si="16"/>
        <v>0</v>
      </c>
      <c r="I137" s="119">
        <f t="shared" si="24"/>
        <v>0</v>
      </c>
      <c r="J137" s="53">
        <f t="shared" si="27"/>
        <v>0</v>
      </c>
      <c r="K137" s="53"/>
      <c r="L137" s="112"/>
      <c r="M137" s="53">
        <f t="shared" si="28"/>
        <v>0</v>
      </c>
      <c r="N137" s="112"/>
      <c r="O137" s="53">
        <f t="shared" si="29"/>
        <v>0</v>
      </c>
      <c r="P137" s="53">
        <f t="shared" si="30"/>
        <v>0</v>
      </c>
    </row>
    <row r="138" spans="2:16">
      <c r="B138" t="str">
        <f t="shared" si="15"/>
        <v/>
      </c>
      <c r="C138" s="49">
        <f>IF(D94="","-",+C137+1)</f>
        <v>2056</v>
      </c>
      <c r="D138" s="11">
        <f>IF(F137+SUM(E$100:E137)=D$93,F137,D$93-SUM(E$100:E137))</f>
        <v>0</v>
      </c>
      <c r="E138" s="55">
        <f t="shared" si="31"/>
        <v>0</v>
      </c>
      <c r="F138" s="54">
        <f t="shared" si="25"/>
        <v>0</v>
      </c>
      <c r="G138" s="54">
        <f t="shared" si="26"/>
        <v>0</v>
      </c>
      <c r="H138" s="110">
        <f t="shared" si="16"/>
        <v>0</v>
      </c>
      <c r="I138" s="119">
        <f t="shared" si="24"/>
        <v>0</v>
      </c>
      <c r="J138" s="53">
        <f t="shared" si="27"/>
        <v>0</v>
      </c>
      <c r="K138" s="53"/>
      <c r="L138" s="112"/>
      <c r="M138" s="53">
        <f t="shared" si="28"/>
        <v>0</v>
      </c>
      <c r="N138" s="112"/>
      <c r="O138" s="53">
        <f t="shared" si="29"/>
        <v>0</v>
      </c>
      <c r="P138" s="53">
        <f t="shared" si="30"/>
        <v>0</v>
      </c>
    </row>
    <row r="139" spans="2:16">
      <c r="B139" t="str">
        <f t="shared" si="15"/>
        <v/>
      </c>
      <c r="C139" s="49">
        <f>IF(D94="","-",+C138+1)</f>
        <v>2057</v>
      </c>
      <c r="D139" s="11">
        <f>IF(F138+SUM(E$100:E138)=D$93,F138,D$93-SUM(E$100:E138))</f>
        <v>0</v>
      </c>
      <c r="E139" s="55">
        <f t="shared" si="31"/>
        <v>0</v>
      </c>
      <c r="F139" s="54">
        <f t="shared" si="25"/>
        <v>0</v>
      </c>
      <c r="G139" s="54">
        <f t="shared" si="26"/>
        <v>0</v>
      </c>
      <c r="H139" s="110">
        <f t="shared" si="16"/>
        <v>0</v>
      </c>
      <c r="I139" s="119">
        <f t="shared" si="24"/>
        <v>0</v>
      </c>
      <c r="J139" s="53">
        <f t="shared" si="27"/>
        <v>0</v>
      </c>
      <c r="K139" s="53"/>
      <c r="L139" s="112"/>
      <c r="M139" s="53">
        <f t="shared" si="28"/>
        <v>0</v>
      </c>
      <c r="N139" s="112"/>
      <c r="O139" s="53">
        <f t="shared" si="29"/>
        <v>0</v>
      </c>
      <c r="P139" s="53">
        <f t="shared" si="30"/>
        <v>0</v>
      </c>
    </row>
    <row r="140" spans="2:16">
      <c r="B140" t="str">
        <f t="shared" si="15"/>
        <v/>
      </c>
      <c r="C140" s="49">
        <f>IF(D94="","-",+C139+1)</f>
        <v>2058</v>
      </c>
      <c r="D140" s="11">
        <f>IF(F139+SUM(E$100:E139)=D$93,F139,D$93-SUM(E$100:E139))</f>
        <v>0</v>
      </c>
      <c r="E140" s="55">
        <f t="shared" si="31"/>
        <v>0</v>
      </c>
      <c r="F140" s="54">
        <f t="shared" si="25"/>
        <v>0</v>
      </c>
      <c r="G140" s="54">
        <f t="shared" si="26"/>
        <v>0</v>
      </c>
      <c r="H140" s="110">
        <f t="shared" si="16"/>
        <v>0</v>
      </c>
      <c r="I140" s="119">
        <f t="shared" si="24"/>
        <v>0</v>
      </c>
      <c r="J140" s="53">
        <f t="shared" si="27"/>
        <v>0</v>
      </c>
      <c r="K140" s="53"/>
      <c r="L140" s="112"/>
      <c r="M140" s="53">
        <f t="shared" si="28"/>
        <v>0</v>
      </c>
      <c r="N140" s="112"/>
      <c r="O140" s="53">
        <f t="shared" si="29"/>
        <v>0</v>
      </c>
      <c r="P140" s="53">
        <f t="shared" si="30"/>
        <v>0</v>
      </c>
    </row>
    <row r="141" spans="2:16">
      <c r="B141" t="str">
        <f t="shared" si="15"/>
        <v/>
      </c>
      <c r="C141" s="49">
        <f>IF(D94="","-",+C140+1)</f>
        <v>2059</v>
      </c>
      <c r="D141" s="11">
        <f>IF(F140+SUM(E$100:E140)=D$93,F140,D$93-SUM(E$100:E140))</f>
        <v>0</v>
      </c>
      <c r="E141" s="55">
        <f t="shared" si="31"/>
        <v>0</v>
      </c>
      <c r="F141" s="54">
        <f t="shared" si="25"/>
        <v>0</v>
      </c>
      <c r="G141" s="54">
        <f t="shared" si="26"/>
        <v>0</v>
      </c>
      <c r="H141" s="110">
        <f t="shared" si="16"/>
        <v>0</v>
      </c>
      <c r="I141" s="119">
        <f t="shared" si="24"/>
        <v>0</v>
      </c>
      <c r="J141" s="53">
        <f t="shared" si="27"/>
        <v>0</v>
      </c>
      <c r="K141" s="53"/>
      <c r="L141" s="112"/>
      <c r="M141" s="53">
        <f t="shared" si="28"/>
        <v>0</v>
      </c>
      <c r="N141" s="112"/>
      <c r="O141" s="53">
        <f t="shared" si="29"/>
        <v>0</v>
      </c>
      <c r="P141" s="53">
        <f t="shared" si="30"/>
        <v>0</v>
      </c>
    </row>
    <row r="142" spans="2:16">
      <c r="B142" t="str">
        <f t="shared" si="15"/>
        <v/>
      </c>
      <c r="C142" s="49">
        <f>IF(D94="","-",+C141+1)</f>
        <v>2060</v>
      </c>
      <c r="D142" s="11">
        <f>IF(F141+SUM(E$100:E141)=D$93,F141,D$93-SUM(E$100:E141))</f>
        <v>0</v>
      </c>
      <c r="E142" s="55">
        <f t="shared" si="31"/>
        <v>0</v>
      </c>
      <c r="F142" s="54">
        <f t="shared" si="25"/>
        <v>0</v>
      </c>
      <c r="G142" s="54">
        <f t="shared" si="26"/>
        <v>0</v>
      </c>
      <c r="H142" s="110">
        <f t="shared" si="16"/>
        <v>0</v>
      </c>
      <c r="I142" s="119">
        <f t="shared" si="24"/>
        <v>0</v>
      </c>
      <c r="J142" s="53">
        <f t="shared" si="27"/>
        <v>0</v>
      </c>
      <c r="K142" s="53"/>
      <c r="L142" s="112"/>
      <c r="M142" s="53">
        <f t="shared" si="28"/>
        <v>0</v>
      </c>
      <c r="N142" s="112"/>
      <c r="O142" s="53">
        <f t="shared" si="29"/>
        <v>0</v>
      </c>
      <c r="P142" s="53">
        <f t="shared" si="30"/>
        <v>0</v>
      </c>
    </row>
    <row r="143" spans="2:16">
      <c r="B143" t="str">
        <f t="shared" si="15"/>
        <v/>
      </c>
      <c r="C143" s="49">
        <f>IF(D94="","-",+C142+1)</f>
        <v>2061</v>
      </c>
      <c r="D143" s="11">
        <f>IF(F142+SUM(E$100:E142)=D$93,F142,D$93-SUM(E$100:E142))</f>
        <v>0</v>
      </c>
      <c r="E143" s="55">
        <f t="shared" si="31"/>
        <v>0</v>
      </c>
      <c r="F143" s="54">
        <f t="shared" si="25"/>
        <v>0</v>
      </c>
      <c r="G143" s="54">
        <f t="shared" si="26"/>
        <v>0</v>
      </c>
      <c r="H143" s="110">
        <f t="shared" si="16"/>
        <v>0</v>
      </c>
      <c r="I143" s="119">
        <f t="shared" si="24"/>
        <v>0</v>
      </c>
      <c r="J143" s="53">
        <f t="shared" si="27"/>
        <v>0</v>
      </c>
      <c r="K143" s="53"/>
      <c r="L143" s="112"/>
      <c r="M143" s="53">
        <f t="shared" si="28"/>
        <v>0</v>
      </c>
      <c r="N143" s="112"/>
      <c r="O143" s="53">
        <f t="shared" si="29"/>
        <v>0</v>
      </c>
      <c r="P143" s="53">
        <f t="shared" si="30"/>
        <v>0</v>
      </c>
    </row>
    <row r="144" spans="2:16">
      <c r="B144" t="str">
        <f t="shared" si="15"/>
        <v/>
      </c>
      <c r="C144" s="49">
        <f>IF(D94="","-",+C143+1)</f>
        <v>2062</v>
      </c>
      <c r="D144" s="11">
        <f>IF(F143+SUM(E$100:E143)=D$93,F143,D$93-SUM(E$100:E143))</f>
        <v>0</v>
      </c>
      <c r="E144" s="55">
        <f t="shared" si="31"/>
        <v>0</v>
      </c>
      <c r="F144" s="54">
        <f t="shared" si="25"/>
        <v>0</v>
      </c>
      <c r="G144" s="54">
        <f t="shared" si="26"/>
        <v>0</v>
      </c>
      <c r="H144" s="110">
        <f t="shared" si="16"/>
        <v>0</v>
      </c>
      <c r="I144" s="119">
        <f t="shared" si="24"/>
        <v>0</v>
      </c>
      <c r="J144" s="53">
        <f t="shared" si="27"/>
        <v>0</v>
      </c>
      <c r="K144" s="53"/>
      <c r="L144" s="112"/>
      <c r="M144" s="53">
        <f t="shared" si="28"/>
        <v>0</v>
      </c>
      <c r="N144" s="112"/>
      <c r="O144" s="53">
        <f t="shared" si="29"/>
        <v>0</v>
      </c>
      <c r="P144" s="53">
        <f t="shared" si="30"/>
        <v>0</v>
      </c>
    </row>
    <row r="145" spans="2:16">
      <c r="B145" t="str">
        <f t="shared" si="15"/>
        <v/>
      </c>
      <c r="C145" s="49">
        <f>IF(D94="","-",+C144+1)</f>
        <v>2063</v>
      </c>
      <c r="D145" s="11">
        <f>IF(F144+SUM(E$100:E144)=D$93,F144,D$93-SUM(E$100:E144))</f>
        <v>0</v>
      </c>
      <c r="E145" s="55">
        <f t="shared" si="31"/>
        <v>0</v>
      </c>
      <c r="F145" s="54">
        <f t="shared" si="25"/>
        <v>0</v>
      </c>
      <c r="G145" s="54">
        <f t="shared" si="26"/>
        <v>0</v>
      </c>
      <c r="H145" s="110">
        <f t="shared" si="16"/>
        <v>0</v>
      </c>
      <c r="I145" s="119">
        <f t="shared" si="24"/>
        <v>0</v>
      </c>
      <c r="J145" s="53">
        <f t="shared" si="27"/>
        <v>0</v>
      </c>
      <c r="K145" s="53"/>
      <c r="L145" s="112"/>
      <c r="M145" s="53">
        <f t="shared" si="28"/>
        <v>0</v>
      </c>
      <c r="N145" s="112"/>
      <c r="O145" s="53">
        <f t="shared" si="29"/>
        <v>0</v>
      </c>
      <c r="P145" s="53">
        <f t="shared" si="30"/>
        <v>0</v>
      </c>
    </row>
    <row r="146" spans="2:16">
      <c r="B146" t="str">
        <f t="shared" si="15"/>
        <v/>
      </c>
      <c r="C146" s="49">
        <f>IF(D94="","-",+C145+1)</f>
        <v>2064</v>
      </c>
      <c r="D146" s="11">
        <f>IF(F145+SUM(E$100:E145)=D$93,F145,D$93-SUM(E$100:E145))</f>
        <v>0</v>
      </c>
      <c r="E146" s="55">
        <f t="shared" si="31"/>
        <v>0</v>
      </c>
      <c r="F146" s="54">
        <f t="shared" si="25"/>
        <v>0</v>
      </c>
      <c r="G146" s="54">
        <f t="shared" si="26"/>
        <v>0</v>
      </c>
      <c r="H146" s="110">
        <f t="shared" si="16"/>
        <v>0</v>
      </c>
      <c r="I146" s="119">
        <f t="shared" si="24"/>
        <v>0</v>
      </c>
      <c r="J146" s="53">
        <f t="shared" si="27"/>
        <v>0</v>
      </c>
      <c r="K146" s="53"/>
      <c r="L146" s="112"/>
      <c r="M146" s="53">
        <f t="shared" si="28"/>
        <v>0</v>
      </c>
      <c r="N146" s="112"/>
      <c r="O146" s="53">
        <f t="shared" si="29"/>
        <v>0</v>
      </c>
      <c r="P146" s="53">
        <f t="shared" si="30"/>
        <v>0</v>
      </c>
    </row>
    <row r="147" spans="2:16">
      <c r="B147" t="str">
        <f t="shared" si="15"/>
        <v/>
      </c>
      <c r="C147" s="49">
        <f>IF(D94="","-",+C146+1)</f>
        <v>2065</v>
      </c>
      <c r="D147" s="11">
        <f>IF(F146+SUM(E$100:E146)=D$93,F146,D$93-SUM(E$100:E146))</f>
        <v>0</v>
      </c>
      <c r="E147" s="55">
        <f t="shared" si="31"/>
        <v>0</v>
      </c>
      <c r="F147" s="54">
        <f t="shared" si="25"/>
        <v>0</v>
      </c>
      <c r="G147" s="54">
        <f t="shared" si="26"/>
        <v>0</v>
      </c>
      <c r="H147" s="110">
        <f t="shared" si="16"/>
        <v>0</v>
      </c>
      <c r="I147" s="119">
        <f t="shared" si="24"/>
        <v>0</v>
      </c>
      <c r="J147" s="53">
        <f t="shared" si="27"/>
        <v>0</v>
      </c>
      <c r="K147" s="53"/>
      <c r="L147" s="112"/>
      <c r="M147" s="53">
        <f t="shared" si="28"/>
        <v>0</v>
      </c>
      <c r="N147" s="112"/>
      <c r="O147" s="53">
        <f t="shared" si="29"/>
        <v>0</v>
      </c>
      <c r="P147" s="53">
        <f t="shared" si="30"/>
        <v>0</v>
      </c>
    </row>
    <row r="148" spans="2:16">
      <c r="B148" t="str">
        <f t="shared" si="15"/>
        <v/>
      </c>
      <c r="C148" s="49">
        <f>IF(D94="","-",+C147+1)</f>
        <v>2066</v>
      </c>
      <c r="D148" s="11">
        <f>IF(F147+SUM(E$100:E147)=D$93,F147,D$93-SUM(E$100:E147))</f>
        <v>0</v>
      </c>
      <c r="E148" s="55">
        <f t="shared" si="31"/>
        <v>0</v>
      </c>
      <c r="F148" s="54">
        <f t="shared" si="25"/>
        <v>0</v>
      </c>
      <c r="G148" s="54">
        <f t="shared" si="26"/>
        <v>0</v>
      </c>
      <c r="H148" s="110">
        <f t="shared" si="16"/>
        <v>0</v>
      </c>
      <c r="I148" s="119">
        <f t="shared" si="24"/>
        <v>0</v>
      </c>
      <c r="J148" s="53">
        <f t="shared" si="27"/>
        <v>0</v>
      </c>
      <c r="K148" s="53"/>
      <c r="L148" s="112"/>
      <c r="M148" s="53">
        <f t="shared" si="28"/>
        <v>0</v>
      </c>
      <c r="N148" s="112"/>
      <c r="O148" s="53">
        <f t="shared" si="29"/>
        <v>0</v>
      </c>
      <c r="P148" s="53">
        <f t="shared" si="30"/>
        <v>0</v>
      </c>
    </row>
    <row r="149" spans="2:16">
      <c r="B149" t="str">
        <f t="shared" si="15"/>
        <v/>
      </c>
      <c r="C149" s="49">
        <f>IF(D94="","-",+C148+1)</f>
        <v>2067</v>
      </c>
      <c r="D149" s="11">
        <f>IF(F148+SUM(E$100:E148)=D$93,F148,D$93-SUM(E$100:E148))</f>
        <v>0</v>
      </c>
      <c r="E149" s="55">
        <f t="shared" si="31"/>
        <v>0</v>
      </c>
      <c r="F149" s="54">
        <f t="shared" si="25"/>
        <v>0</v>
      </c>
      <c r="G149" s="54">
        <f t="shared" si="26"/>
        <v>0</v>
      </c>
      <c r="H149" s="110">
        <f t="shared" si="16"/>
        <v>0</v>
      </c>
      <c r="I149" s="119">
        <f t="shared" si="24"/>
        <v>0</v>
      </c>
      <c r="J149" s="53">
        <f t="shared" si="27"/>
        <v>0</v>
      </c>
      <c r="K149" s="53"/>
      <c r="L149" s="112"/>
      <c r="M149" s="53">
        <f t="shared" si="28"/>
        <v>0</v>
      </c>
      <c r="N149" s="112"/>
      <c r="O149" s="53">
        <f t="shared" si="29"/>
        <v>0</v>
      </c>
      <c r="P149" s="53">
        <f t="shared" si="30"/>
        <v>0</v>
      </c>
    </row>
    <row r="150" spans="2:16">
      <c r="B150" t="str">
        <f t="shared" si="15"/>
        <v/>
      </c>
      <c r="C150" s="49">
        <f>IF(D94="","-",+C149+1)</f>
        <v>2068</v>
      </c>
      <c r="D150" s="11">
        <f>IF(F149+SUM(E$100:E149)=D$93,F149,D$93-SUM(E$100:E149))</f>
        <v>0</v>
      </c>
      <c r="E150" s="55">
        <f t="shared" si="31"/>
        <v>0</v>
      </c>
      <c r="F150" s="54">
        <f t="shared" si="25"/>
        <v>0</v>
      </c>
      <c r="G150" s="54">
        <f t="shared" si="26"/>
        <v>0</v>
      </c>
      <c r="H150" s="110">
        <f t="shared" si="16"/>
        <v>0</v>
      </c>
      <c r="I150" s="119">
        <f t="shared" si="24"/>
        <v>0</v>
      </c>
      <c r="J150" s="53">
        <f t="shared" si="27"/>
        <v>0</v>
      </c>
      <c r="K150" s="53"/>
      <c r="L150" s="112"/>
      <c r="M150" s="53">
        <f t="shared" si="28"/>
        <v>0</v>
      </c>
      <c r="N150" s="112"/>
      <c r="O150" s="53">
        <f t="shared" si="29"/>
        <v>0</v>
      </c>
      <c r="P150" s="53">
        <f t="shared" si="30"/>
        <v>0</v>
      </c>
    </row>
    <row r="151" spans="2:16">
      <c r="B151" t="str">
        <f t="shared" si="15"/>
        <v/>
      </c>
      <c r="C151" s="49">
        <f>IF(D94="","-",+C150+1)</f>
        <v>2069</v>
      </c>
      <c r="D151" s="11">
        <f>IF(F150+SUM(E$100:E150)=D$93,F150,D$93-SUM(E$100:E150))</f>
        <v>0</v>
      </c>
      <c r="E151" s="55">
        <f t="shared" si="31"/>
        <v>0</v>
      </c>
      <c r="F151" s="54">
        <f t="shared" si="25"/>
        <v>0</v>
      </c>
      <c r="G151" s="54">
        <f t="shared" si="26"/>
        <v>0</v>
      </c>
      <c r="H151" s="110">
        <f t="shared" si="16"/>
        <v>0</v>
      </c>
      <c r="I151" s="119">
        <f t="shared" si="24"/>
        <v>0</v>
      </c>
      <c r="J151" s="53">
        <f t="shared" si="27"/>
        <v>0</v>
      </c>
      <c r="K151" s="53"/>
      <c r="L151" s="112"/>
      <c r="M151" s="53">
        <f t="shared" si="28"/>
        <v>0</v>
      </c>
      <c r="N151" s="112"/>
      <c r="O151" s="53">
        <f t="shared" si="29"/>
        <v>0</v>
      </c>
      <c r="P151" s="53">
        <f t="shared" si="30"/>
        <v>0</v>
      </c>
    </row>
    <row r="152" spans="2:16">
      <c r="B152" t="str">
        <f t="shared" si="15"/>
        <v/>
      </c>
      <c r="C152" s="49">
        <f>IF(D94="","-",+C151+1)</f>
        <v>2070</v>
      </c>
      <c r="D152" s="11">
        <f>IF(F151+SUM(E$100:E151)=D$93,F151,D$93-SUM(E$100:E151))</f>
        <v>0</v>
      </c>
      <c r="E152" s="55">
        <f t="shared" si="31"/>
        <v>0</v>
      </c>
      <c r="F152" s="54">
        <f t="shared" si="25"/>
        <v>0</v>
      </c>
      <c r="G152" s="54">
        <f t="shared" si="26"/>
        <v>0</v>
      </c>
      <c r="H152" s="110">
        <f t="shared" si="16"/>
        <v>0</v>
      </c>
      <c r="I152" s="119">
        <f t="shared" si="24"/>
        <v>0</v>
      </c>
      <c r="J152" s="53">
        <f t="shared" si="27"/>
        <v>0</v>
      </c>
      <c r="K152" s="53"/>
      <c r="L152" s="112"/>
      <c r="M152" s="53">
        <f t="shared" si="28"/>
        <v>0</v>
      </c>
      <c r="N152" s="112"/>
      <c r="O152" s="53">
        <f t="shared" si="29"/>
        <v>0</v>
      </c>
      <c r="P152" s="53">
        <f t="shared" si="30"/>
        <v>0</v>
      </c>
    </row>
    <row r="153" spans="2:16">
      <c r="B153" t="str">
        <f t="shared" si="15"/>
        <v/>
      </c>
      <c r="C153" s="49">
        <f>IF(D94="","-",+C152+1)</f>
        <v>2071</v>
      </c>
      <c r="D153" s="11">
        <f>IF(F152+SUM(E$100:E152)=D$93,F152,D$93-SUM(E$100:E152))</f>
        <v>0</v>
      </c>
      <c r="E153" s="55">
        <f t="shared" si="31"/>
        <v>0</v>
      </c>
      <c r="F153" s="54">
        <f t="shared" si="25"/>
        <v>0</v>
      </c>
      <c r="G153" s="54">
        <f t="shared" si="26"/>
        <v>0</v>
      </c>
      <c r="H153" s="110">
        <f t="shared" si="16"/>
        <v>0</v>
      </c>
      <c r="I153" s="119">
        <f t="shared" si="24"/>
        <v>0</v>
      </c>
      <c r="J153" s="53">
        <f t="shared" si="27"/>
        <v>0</v>
      </c>
      <c r="K153" s="53"/>
      <c r="L153" s="112"/>
      <c r="M153" s="53">
        <f t="shared" si="28"/>
        <v>0</v>
      </c>
      <c r="N153" s="112"/>
      <c r="O153" s="53">
        <f t="shared" si="29"/>
        <v>0</v>
      </c>
      <c r="P153" s="53">
        <f t="shared" si="30"/>
        <v>0</v>
      </c>
    </row>
    <row r="154" spans="2:16">
      <c r="B154" t="str">
        <f t="shared" si="15"/>
        <v/>
      </c>
      <c r="C154" s="49">
        <f>IF(D94="","-",+C153+1)</f>
        <v>2072</v>
      </c>
      <c r="D154" s="11">
        <f>IF(F153+SUM(E$100:E153)=D$93,F153,D$93-SUM(E$100:E153))</f>
        <v>0</v>
      </c>
      <c r="E154" s="55">
        <f t="shared" si="31"/>
        <v>0</v>
      </c>
      <c r="F154" s="54">
        <f t="shared" si="25"/>
        <v>0</v>
      </c>
      <c r="G154" s="54">
        <f t="shared" si="26"/>
        <v>0</v>
      </c>
      <c r="H154" s="110">
        <f t="shared" si="16"/>
        <v>0</v>
      </c>
      <c r="I154" s="119">
        <f t="shared" si="24"/>
        <v>0</v>
      </c>
      <c r="J154" s="53">
        <f t="shared" si="27"/>
        <v>0</v>
      </c>
      <c r="K154" s="53"/>
      <c r="L154" s="112"/>
      <c r="M154" s="53">
        <f t="shared" si="28"/>
        <v>0</v>
      </c>
      <c r="N154" s="112"/>
      <c r="O154" s="53">
        <f t="shared" si="29"/>
        <v>0</v>
      </c>
      <c r="P154" s="53">
        <f t="shared" si="30"/>
        <v>0</v>
      </c>
    </row>
    <row r="155" spans="2:16" ht="13.5" thickBot="1">
      <c r="B155" t="str">
        <f t="shared" si="15"/>
        <v/>
      </c>
      <c r="C155" s="58">
        <f>IF(D94="","-",+C154+1)</f>
        <v>2073</v>
      </c>
      <c r="D155" s="82">
        <f>IF(F154+SUM(E$100:E154)=D$93,F154,D$93-SUM(E$100:E154))</f>
        <v>0</v>
      </c>
      <c r="E155" s="60">
        <f t="shared" si="31"/>
        <v>0</v>
      </c>
      <c r="F155" s="59">
        <f t="shared" si="25"/>
        <v>0</v>
      </c>
      <c r="G155" s="59">
        <f t="shared" si="26"/>
        <v>0</v>
      </c>
      <c r="H155" s="120">
        <f t="shared" si="16"/>
        <v>0</v>
      </c>
      <c r="I155" s="121">
        <f t="shared" si="24"/>
        <v>0</v>
      </c>
      <c r="J155" s="63">
        <f t="shared" si="27"/>
        <v>0</v>
      </c>
      <c r="K155" s="53"/>
      <c r="L155" s="113"/>
      <c r="M155" s="63">
        <f t="shared" si="28"/>
        <v>0</v>
      </c>
      <c r="N155" s="113"/>
      <c r="O155" s="63">
        <f t="shared" si="29"/>
        <v>0</v>
      </c>
      <c r="P155" s="63">
        <f t="shared" si="30"/>
        <v>0</v>
      </c>
    </row>
    <row r="156" spans="2:16">
      <c r="C156" s="11" t="s">
        <v>75</v>
      </c>
      <c r="D156" s="13"/>
      <c r="E156" s="13">
        <f>SUM(E100:E155)</f>
        <v>0</v>
      </c>
      <c r="F156" s="13"/>
      <c r="G156" s="13"/>
      <c r="H156" s="13">
        <f>SUM(H100:H155)</f>
        <v>0</v>
      </c>
      <c r="I156" s="13">
        <f>SUM(I100:I155)</f>
        <v>0</v>
      </c>
      <c r="J156" s="13">
        <f>SUM(J100:J155)</f>
        <v>0</v>
      </c>
      <c r="K156" s="13"/>
      <c r="L156" s="13"/>
      <c r="M156" s="13"/>
      <c r="N156" s="13"/>
      <c r="O156" s="13"/>
      <c r="P156" s="1"/>
    </row>
    <row r="157" spans="2:16">
      <c r="C157" t="s">
        <v>90</v>
      </c>
      <c r="D157" s="2"/>
      <c r="E157" s="1"/>
      <c r="F157" s="1"/>
      <c r="G157" s="1"/>
      <c r="H157" s="1"/>
      <c r="I157" s="3"/>
      <c r="J157" s="3"/>
      <c r="K157" s="13"/>
      <c r="L157" s="3"/>
      <c r="M157" s="3"/>
      <c r="N157" s="3"/>
      <c r="O157" s="3"/>
      <c r="P157" s="1"/>
    </row>
    <row r="158" spans="2:16">
      <c r="C158" s="83"/>
      <c r="D158" s="2"/>
      <c r="E158" s="1"/>
      <c r="F158" s="1"/>
      <c r="G158" s="1"/>
      <c r="H158" s="1"/>
      <c r="I158" s="3"/>
      <c r="J158" s="3"/>
      <c r="K158" s="13"/>
      <c r="L158" s="3"/>
      <c r="M158" s="3"/>
      <c r="N158" s="3"/>
      <c r="O158" s="3"/>
      <c r="P158" s="1"/>
    </row>
    <row r="159" spans="2:16">
      <c r="C159" s="97" t="s">
        <v>130</v>
      </c>
      <c r="D159" s="2"/>
      <c r="E159" s="1"/>
      <c r="F159" s="1"/>
      <c r="G159" s="1"/>
      <c r="H159" s="1"/>
      <c r="I159" s="3"/>
      <c r="J159" s="3"/>
      <c r="K159" s="13"/>
      <c r="L159" s="3"/>
      <c r="M159" s="3"/>
      <c r="N159" s="3"/>
      <c r="O159" s="3"/>
      <c r="P159" s="1"/>
    </row>
    <row r="160" spans="2:16">
      <c r="C160" s="25" t="s">
        <v>76</v>
      </c>
      <c r="D160" s="11"/>
      <c r="E160" s="11"/>
      <c r="F160" s="11"/>
      <c r="G160" s="11"/>
      <c r="H160" s="13"/>
      <c r="I160" s="13"/>
      <c r="J160" s="64"/>
      <c r="K160" s="64"/>
      <c r="L160" s="64"/>
      <c r="M160" s="64"/>
      <c r="N160" s="64"/>
      <c r="O160" s="64"/>
      <c r="P160" s="1"/>
    </row>
    <row r="161" spans="3:16">
      <c r="C161" s="84" t="s">
        <v>77</v>
      </c>
      <c r="D161" s="11"/>
      <c r="E161" s="11"/>
      <c r="F161" s="11"/>
      <c r="G161" s="11"/>
      <c r="H161" s="13"/>
      <c r="I161" s="13"/>
      <c r="J161" s="64"/>
      <c r="K161" s="64"/>
      <c r="L161" s="64"/>
      <c r="M161" s="64"/>
      <c r="N161" s="64"/>
      <c r="O161" s="64"/>
      <c r="P161" s="1"/>
    </row>
    <row r="162" spans="3:16">
      <c r="C162" s="84"/>
      <c r="D162" s="11"/>
      <c r="E162" s="11"/>
      <c r="F162" s="11"/>
      <c r="G162" s="11"/>
      <c r="H162" s="13"/>
      <c r="I162" s="13"/>
      <c r="J162" s="64"/>
      <c r="K162" s="64"/>
      <c r="L162" s="64"/>
      <c r="M162" s="64"/>
      <c r="N162" s="64"/>
      <c r="O162" s="64"/>
      <c r="P162" s="1"/>
    </row>
    <row r="163" spans="3:16" ht="18">
      <c r="C163" s="84"/>
      <c r="D163" s="11"/>
      <c r="E163" s="11"/>
      <c r="F163" s="11"/>
      <c r="G163" s="11"/>
      <c r="H163" s="13"/>
      <c r="I163" s="13"/>
      <c r="J163" s="64"/>
      <c r="K163" s="64"/>
      <c r="L163" s="64"/>
      <c r="M163" s="64"/>
      <c r="N163" s="64"/>
      <c r="P163" s="95" t="s">
        <v>129</v>
      </c>
    </row>
  </sheetData>
  <phoneticPr fontId="0" type="noConversion"/>
  <conditionalFormatting sqref="C17:C73">
    <cfRule type="cellIs" dxfId="1" priority="1" stopIfTrue="1" operator="equal">
      <formula>$I$10</formula>
    </cfRule>
  </conditionalFormatting>
  <conditionalFormatting sqref="C100:C155">
    <cfRule type="cellIs" dxfId="0"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9"/>
  <dimension ref="A1:U163"/>
  <sheetViews>
    <sheetView topLeftCell="A8" zoomScaleNormal="100" zoomScaleSheetLayoutView="70" workbookViewId="0">
      <selection activeCell="D93" sqref="D93"/>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14062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1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t="str">
        <f>"For Calendar Year "&amp;V1-1&amp;" and Projected Year "&amp;V1</f>
        <v xml:space="preserve">For Calendar Year -1 and Projected Year </v>
      </c>
      <c r="I3" s="260"/>
      <c r="J3" s="242"/>
      <c r="K3" s="260"/>
      <c r="L3" s="260"/>
      <c r="M3" s="260"/>
      <c r="N3" s="260"/>
      <c r="O3" s="1" t="str">
        <f>RIGHT(N3,3)</f>
        <v/>
      </c>
      <c r="P3" s="348">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77840.918733315004</v>
      </c>
      <c r="P5" s="1"/>
      <c r="R5" s="1"/>
      <c r="S5" s="1"/>
      <c r="T5" s="1"/>
      <c r="U5" s="1"/>
    </row>
    <row r="6" spans="1:21" ht="15.75">
      <c r="C6" s="6"/>
      <c r="D6" s="2"/>
      <c r="E6" s="1"/>
      <c r="F6" s="1"/>
      <c r="G6" s="1"/>
      <c r="H6" s="351"/>
      <c r="I6" s="351"/>
      <c r="J6" s="352"/>
      <c r="K6" s="22" t="s">
        <v>243</v>
      </c>
      <c r="L6" s="353"/>
      <c r="M6" s="1"/>
      <c r="N6" s="354">
        <f>VLOOKUP(I10,C17:I73,6)</f>
        <v>77840.918733315004</v>
      </c>
      <c r="O6" s="1"/>
      <c r="P6" s="1"/>
      <c r="R6" s="1"/>
      <c r="S6" s="1"/>
      <c r="T6" s="1"/>
      <c r="U6" s="1"/>
    </row>
    <row r="7" spans="1:21" ht="13.5" thickBot="1">
      <c r="C7" s="25" t="s">
        <v>46</v>
      </c>
      <c r="D7" s="96" t="s">
        <v>191</v>
      </c>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196</v>
      </c>
      <c r="E9" s="31" t="s">
        <v>319</v>
      </c>
      <c r="F9" s="526">
        <v>480</v>
      </c>
      <c r="G9" s="31"/>
      <c r="H9" s="31"/>
      <c r="I9" s="32"/>
      <c r="J9" s="33"/>
      <c r="P9" s="1"/>
      <c r="R9" s="1"/>
      <c r="S9" s="1"/>
      <c r="T9" s="1"/>
      <c r="U9" s="1"/>
    </row>
    <row r="10" spans="1:21">
      <c r="C10" s="34" t="s">
        <v>49</v>
      </c>
      <c r="D10" s="358">
        <v>723818</v>
      </c>
      <c r="E10" s="1" t="s">
        <v>50</v>
      </c>
      <c r="G10" s="2"/>
      <c r="H10" s="2"/>
      <c r="I10" s="36">
        <f>+'OKT.WS.F.BPU.ATRR.Projected'!R100</f>
        <v>2025</v>
      </c>
      <c r="J10" s="33"/>
      <c r="K10" s="242" t="s">
        <v>51</v>
      </c>
      <c r="O10" s="1"/>
      <c r="P10" s="1"/>
      <c r="R10" s="1"/>
      <c r="S10" s="1"/>
      <c r="T10" s="1"/>
      <c r="U10" s="1"/>
    </row>
    <row r="11" spans="1:21">
      <c r="C11" s="34" t="s">
        <v>52</v>
      </c>
      <c r="D11" s="37">
        <v>2010</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12</v>
      </c>
      <c r="E12" s="34" t="s">
        <v>55</v>
      </c>
      <c r="F12" s="2"/>
      <c r="I12" s="40">
        <f>'OKT.WS.F.BPU.ATRR.Projected'!$F$78</f>
        <v>0.11444992740144029</v>
      </c>
      <c r="J12" s="7"/>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c r="E14" s="1" t="s">
        <v>62</v>
      </c>
      <c r="F14" s="2"/>
      <c r="I14" s="359">
        <f>IF(D10=0,0,D10/D13)</f>
        <v>24127.266666666666</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366" t="s">
        <v>71</v>
      </c>
      <c r="H16" s="367" t="s">
        <v>72</v>
      </c>
      <c r="I16" s="46" t="s">
        <v>93</v>
      </c>
      <c r="J16" s="44" t="s">
        <v>73</v>
      </c>
      <c r="K16" s="368" t="s">
        <v>74</v>
      </c>
      <c r="L16" s="369" t="s">
        <v>74</v>
      </c>
      <c r="M16" s="368" t="s">
        <v>94</v>
      </c>
      <c r="N16" s="370" t="s">
        <v>94</v>
      </c>
      <c r="O16" s="368" t="s">
        <v>94</v>
      </c>
      <c r="P16" s="1"/>
      <c r="R16" s="1"/>
      <c r="S16" s="1"/>
      <c r="T16" s="1"/>
      <c r="U16" s="1"/>
    </row>
    <row r="17" spans="2:21">
      <c r="B17" t="str">
        <f>IF(D17=F16,"","IU")</f>
        <v>IU</v>
      </c>
      <c r="C17" s="49">
        <f>IF(D11= "","-",D11)</f>
        <v>2010</v>
      </c>
      <c r="D17" s="371">
        <v>767749</v>
      </c>
      <c r="E17" s="372">
        <v>0</v>
      </c>
      <c r="F17" s="371">
        <v>767749</v>
      </c>
      <c r="G17" s="373">
        <v>92753.205799400443</v>
      </c>
      <c r="H17" s="374">
        <v>92753.205799400443</v>
      </c>
      <c r="I17" s="51">
        <f t="shared" ref="I17:I49" si="0">H17-G17</f>
        <v>0</v>
      </c>
      <c r="J17" s="51"/>
      <c r="K17" s="114">
        <f t="shared" ref="K17:K22" si="1">G17</f>
        <v>92753.205799400443</v>
      </c>
      <c r="L17" s="52">
        <f t="shared" ref="L17:L49" si="2">IF(K17&lt;&gt;0,+G17-K17,0)</f>
        <v>0</v>
      </c>
      <c r="M17" s="114">
        <f t="shared" ref="M17:M22" si="3">H17</f>
        <v>92753.205799400443</v>
      </c>
      <c r="N17" s="52">
        <f t="shared" ref="N17:N49" si="4">IF(M17&lt;&gt;0,+H17-M17,0)</f>
        <v>0</v>
      </c>
      <c r="O17" s="53">
        <f t="shared" ref="O17:O49" si="5">+N17-L17</f>
        <v>0</v>
      </c>
      <c r="P17" s="1"/>
      <c r="R17" s="1"/>
      <c r="S17" s="1"/>
      <c r="T17" s="1"/>
      <c r="U17" s="1"/>
    </row>
    <row r="18" spans="2:21">
      <c r="B18" t="str">
        <f>IF(D18=F17,"","IU")</f>
        <v/>
      </c>
      <c r="C18" s="49">
        <f>IF(D11="","-",+C17+1)</f>
        <v>2011</v>
      </c>
      <c r="D18" s="375">
        <v>767749</v>
      </c>
      <c r="E18" s="373">
        <v>10981.365584860865</v>
      </c>
      <c r="F18" s="375">
        <v>756767.63441513909</v>
      </c>
      <c r="G18" s="373">
        <v>109365.67160279222</v>
      </c>
      <c r="H18" s="374">
        <v>109365.67160279222</v>
      </c>
      <c r="I18" s="51">
        <f t="shared" si="0"/>
        <v>0</v>
      </c>
      <c r="J18" s="51"/>
      <c r="K18" s="376">
        <f t="shared" si="1"/>
        <v>109365.67160279222</v>
      </c>
      <c r="L18" s="53">
        <f t="shared" si="2"/>
        <v>0</v>
      </c>
      <c r="M18" s="376">
        <f t="shared" si="3"/>
        <v>109365.67160279222</v>
      </c>
      <c r="N18" s="53">
        <f t="shared" si="4"/>
        <v>0</v>
      </c>
      <c r="O18" s="53">
        <f t="shared" si="5"/>
        <v>0</v>
      </c>
      <c r="P18" s="1"/>
      <c r="R18" s="1"/>
      <c r="S18" s="1"/>
      <c r="T18" s="1"/>
      <c r="U18" s="1"/>
    </row>
    <row r="19" spans="2:21">
      <c r="B19" t="str">
        <f t="shared" ref="B19:B73" si="6">IF(D19=F18,"","IU")</f>
        <v/>
      </c>
      <c r="C19" s="49">
        <f>IF(D11="","-",+C18+1)</f>
        <v>2012</v>
      </c>
      <c r="D19" s="375">
        <v>756767.63441513909</v>
      </c>
      <c r="E19" s="373">
        <v>12221.81530625035</v>
      </c>
      <c r="F19" s="375">
        <v>744545.81910888874</v>
      </c>
      <c r="G19" s="373">
        <v>84179.959434377466</v>
      </c>
      <c r="H19" s="374">
        <v>84179.959434377466</v>
      </c>
      <c r="I19" s="51">
        <v>0</v>
      </c>
      <c r="J19" s="51"/>
      <c r="K19" s="376">
        <f t="shared" si="1"/>
        <v>84179.959434377466</v>
      </c>
      <c r="L19" s="53">
        <f t="shared" si="2"/>
        <v>0</v>
      </c>
      <c r="M19" s="376">
        <f t="shared" si="3"/>
        <v>84179.959434377466</v>
      </c>
      <c r="N19" s="53">
        <f t="shared" si="4"/>
        <v>0</v>
      </c>
      <c r="O19" s="53">
        <f t="shared" si="5"/>
        <v>0</v>
      </c>
      <c r="P19" s="1"/>
      <c r="R19" s="1"/>
      <c r="S19" s="1"/>
      <c r="T19" s="1"/>
      <c r="U19" s="1"/>
    </row>
    <row r="20" spans="2:21">
      <c r="B20" t="str">
        <f t="shared" si="6"/>
        <v>IU</v>
      </c>
      <c r="C20" s="49">
        <f>IF(D11="","-",+C19+1)</f>
        <v>2013</v>
      </c>
      <c r="D20" s="375">
        <v>700614.81910888874</v>
      </c>
      <c r="E20" s="373">
        <v>12521.479662412485</v>
      </c>
      <c r="F20" s="375">
        <v>688093.33944647631</v>
      </c>
      <c r="G20" s="373">
        <v>87689.629791132116</v>
      </c>
      <c r="H20" s="374">
        <v>87689.629791132116</v>
      </c>
      <c r="I20" s="51">
        <v>0</v>
      </c>
      <c r="J20" s="51"/>
      <c r="K20" s="376">
        <f t="shared" si="1"/>
        <v>87689.629791132116</v>
      </c>
      <c r="L20" s="53">
        <f t="shared" ref="L20:L25" si="7">IF(K20&lt;&gt;0,+G20-K20,0)</f>
        <v>0</v>
      </c>
      <c r="M20" s="376">
        <f t="shared" si="3"/>
        <v>87689.629791132116</v>
      </c>
      <c r="N20" s="53">
        <f>IF(M20&lt;&gt;0,+H20-M20,0)</f>
        <v>0</v>
      </c>
      <c r="O20" s="53">
        <f>+N20-L20</f>
        <v>0</v>
      </c>
      <c r="P20" s="1"/>
      <c r="R20" s="1"/>
      <c r="S20" s="1"/>
      <c r="T20" s="1"/>
      <c r="U20" s="1"/>
    </row>
    <row r="21" spans="2:21">
      <c r="B21" t="str">
        <f t="shared" si="6"/>
        <v/>
      </c>
      <c r="C21" s="49">
        <f>IF(D12="","-",+C20+1)</f>
        <v>2014</v>
      </c>
      <c r="D21" s="375">
        <v>688093.33944647631</v>
      </c>
      <c r="E21" s="373">
        <v>12521.479662412485</v>
      </c>
      <c r="F21" s="375">
        <v>675571.85978406388</v>
      </c>
      <c r="G21" s="373">
        <v>86852.845850246973</v>
      </c>
      <c r="H21" s="374">
        <v>86852.845850246973</v>
      </c>
      <c r="I21" s="51">
        <v>0</v>
      </c>
      <c r="J21" s="51"/>
      <c r="K21" s="376">
        <f t="shared" si="1"/>
        <v>86852.845850246973</v>
      </c>
      <c r="L21" s="53">
        <f t="shared" si="7"/>
        <v>0</v>
      </c>
      <c r="M21" s="376">
        <f t="shared" si="3"/>
        <v>86852.845850246973</v>
      </c>
      <c r="N21" s="53">
        <f>IF(M21&lt;&gt;0,+H21-M21,0)</f>
        <v>0</v>
      </c>
      <c r="O21" s="53">
        <f>+N21-L21</f>
        <v>0</v>
      </c>
      <c r="P21" s="1"/>
      <c r="R21" s="1"/>
      <c r="S21" s="1"/>
      <c r="T21" s="1"/>
      <c r="U21" s="1"/>
    </row>
    <row r="22" spans="2:21">
      <c r="B22" t="str">
        <f t="shared" si="6"/>
        <v/>
      </c>
      <c r="C22" s="49">
        <f>IF(D11="","-",+C21+1)</f>
        <v>2015</v>
      </c>
      <c r="D22" s="375">
        <v>675571.85978406388</v>
      </c>
      <c r="E22" s="373">
        <v>12521.479662412485</v>
      </c>
      <c r="F22" s="375">
        <v>663050.38012165145</v>
      </c>
      <c r="G22" s="373">
        <v>80859.057608604737</v>
      </c>
      <c r="H22" s="374">
        <v>80859.057608604737</v>
      </c>
      <c r="I22" s="51">
        <f t="shared" si="0"/>
        <v>0</v>
      </c>
      <c r="J22" s="51"/>
      <c r="K22" s="376">
        <f t="shared" si="1"/>
        <v>80859.057608604737</v>
      </c>
      <c r="L22" s="53">
        <f t="shared" si="7"/>
        <v>0</v>
      </c>
      <c r="M22" s="376">
        <f t="shared" si="3"/>
        <v>80859.057608604737</v>
      </c>
      <c r="N22" s="53">
        <f>IF(M22&lt;&gt;0,+H22-M22,0)</f>
        <v>0</v>
      </c>
      <c r="O22" s="53">
        <f>+N22-L22</f>
        <v>0</v>
      </c>
      <c r="P22" s="1"/>
      <c r="R22" s="1"/>
      <c r="S22" s="1"/>
      <c r="T22" s="1"/>
      <c r="U22" s="1"/>
    </row>
    <row r="23" spans="2:21">
      <c r="B23" t="str">
        <f t="shared" si="6"/>
        <v/>
      </c>
      <c r="C23" s="49">
        <f>IF(D11="","-",+C22+1)</f>
        <v>2016</v>
      </c>
      <c r="D23" s="375">
        <v>663050.38012165145</v>
      </c>
      <c r="E23" s="373">
        <v>15040.542945521509</v>
      </c>
      <c r="F23" s="375">
        <v>648009.83717612992</v>
      </c>
      <c r="G23" s="373">
        <v>84948.083991581108</v>
      </c>
      <c r="H23" s="374">
        <v>84948.083991581108</v>
      </c>
      <c r="I23" s="51">
        <f t="shared" si="0"/>
        <v>0</v>
      </c>
      <c r="J23" s="51"/>
      <c r="K23" s="376">
        <f t="shared" ref="K23:K28" si="8">G23</f>
        <v>84948.083991581108</v>
      </c>
      <c r="L23" s="53">
        <f t="shared" si="7"/>
        <v>0</v>
      </c>
      <c r="M23" s="376">
        <f t="shared" ref="M23:M28" si="9">H23</f>
        <v>84948.083991581108</v>
      </c>
      <c r="N23" s="53">
        <f t="shared" si="4"/>
        <v>0</v>
      </c>
      <c r="O23" s="53">
        <f t="shared" si="5"/>
        <v>0</v>
      </c>
      <c r="P23" s="1"/>
      <c r="R23" s="1"/>
      <c r="S23" s="1"/>
      <c r="T23" s="1"/>
      <c r="U23" s="1"/>
    </row>
    <row r="24" spans="2:21">
      <c r="B24" t="str">
        <f t="shared" si="6"/>
        <v/>
      </c>
      <c r="C24" s="49">
        <f>IF(D11="","-",+C23+1)</f>
        <v>2017</v>
      </c>
      <c r="D24" s="375">
        <v>648009.83717612992</v>
      </c>
      <c r="E24" s="373">
        <v>14231.694883080969</v>
      </c>
      <c r="F24" s="375">
        <v>633778.14229304891</v>
      </c>
      <c r="G24" s="373">
        <v>84691.562397354341</v>
      </c>
      <c r="H24" s="374">
        <v>84691.562397354341</v>
      </c>
      <c r="I24" s="51">
        <f t="shared" si="0"/>
        <v>0</v>
      </c>
      <c r="J24" s="51"/>
      <c r="K24" s="376">
        <f t="shared" si="8"/>
        <v>84691.562397354341</v>
      </c>
      <c r="L24" s="53">
        <f t="shared" si="7"/>
        <v>0</v>
      </c>
      <c r="M24" s="376">
        <f t="shared" si="9"/>
        <v>84691.562397354341</v>
      </c>
      <c r="N24" s="53">
        <f>IF(M24&lt;&gt;0,+H24-M24,0)</f>
        <v>0</v>
      </c>
      <c r="O24" s="53">
        <f>+N24-L24</f>
        <v>0</v>
      </c>
      <c r="P24" s="1"/>
      <c r="R24" s="1"/>
      <c r="S24" s="1"/>
      <c r="T24" s="1"/>
      <c r="U24" s="1"/>
    </row>
    <row r="25" spans="2:21">
      <c r="B25" t="str">
        <f t="shared" si="6"/>
        <v/>
      </c>
      <c r="C25" s="49">
        <f>IF(D11="","-",+C24+1)</f>
        <v>2018</v>
      </c>
      <c r="D25" s="375">
        <v>633778.14229304891</v>
      </c>
      <c r="E25" s="373">
        <v>17751.333847969061</v>
      </c>
      <c r="F25" s="375">
        <v>616026.80844507983</v>
      </c>
      <c r="G25" s="373">
        <v>81256.204053950511</v>
      </c>
      <c r="H25" s="374">
        <v>81256.204053950511</v>
      </c>
      <c r="I25" s="51">
        <f t="shared" si="0"/>
        <v>0</v>
      </c>
      <c r="J25" s="51"/>
      <c r="K25" s="376">
        <f t="shared" si="8"/>
        <v>81256.204053950511</v>
      </c>
      <c r="L25" s="53">
        <f t="shared" si="7"/>
        <v>0</v>
      </c>
      <c r="M25" s="376">
        <f t="shared" si="9"/>
        <v>81256.204053950511</v>
      </c>
      <c r="N25" s="53">
        <f>IF(M25&lt;&gt;0,+H25-M25,0)</f>
        <v>0</v>
      </c>
      <c r="O25" s="53">
        <f>+N25-L25</f>
        <v>0</v>
      </c>
      <c r="P25" s="1"/>
      <c r="R25" s="1"/>
      <c r="S25" s="1"/>
      <c r="T25" s="1"/>
      <c r="U25" s="1"/>
    </row>
    <row r="26" spans="2:21">
      <c r="B26" t="str">
        <f t="shared" si="6"/>
        <v/>
      </c>
      <c r="C26" s="49">
        <f>IF(D11="","-",+C25+1)</f>
        <v>2019</v>
      </c>
      <c r="D26" s="375">
        <v>616026.80844507983</v>
      </c>
      <c r="E26" s="373">
        <v>21467.607261508991</v>
      </c>
      <c r="F26" s="375">
        <v>594559.2011835709</v>
      </c>
      <c r="G26" s="373">
        <v>84379.319531027868</v>
      </c>
      <c r="H26" s="374">
        <v>84379.319531027868</v>
      </c>
      <c r="I26" s="51">
        <f t="shared" si="0"/>
        <v>0</v>
      </c>
      <c r="J26" s="51"/>
      <c r="K26" s="376">
        <f t="shared" si="8"/>
        <v>84379.319531027868</v>
      </c>
      <c r="L26" s="53">
        <f t="shared" ref="L26" si="10">IF(K26&lt;&gt;0,+G26-K26,0)</f>
        <v>0</v>
      </c>
      <c r="M26" s="376">
        <f t="shared" si="9"/>
        <v>84379.319531027868</v>
      </c>
      <c r="N26" s="53">
        <f>IF(M26&lt;&gt;0,+H26-M26,0)</f>
        <v>0</v>
      </c>
      <c r="O26" s="53">
        <f>+N26-L26</f>
        <v>0</v>
      </c>
      <c r="P26" s="1"/>
      <c r="R26" s="1"/>
      <c r="S26" s="1"/>
      <c r="T26" s="1"/>
      <c r="U26" s="1"/>
    </row>
    <row r="27" spans="2:21">
      <c r="B27" t="str">
        <f t="shared" si="6"/>
        <v>IU</v>
      </c>
      <c r="C27" s="49">
        <f>IF(D11="","-",+C26+1)</f>
        <v>2020</v>
      </c>
      <c r="D27" s="375">
        <v>598275.47459711076</v>
      </c>
      <c r="E27" s="373">
        <v>21194.679776158337</v>
      </c>
      <c r="F27" s="375">
        <v>577080.79482095246</v>
      </c>
      <c r="G27" s="373">
        <v>82861.19585201345</v>
      </c>
      <c r="H27" s="374">
        <v>82861.19585201345</v>
      </c>
      <c r="I27" s="51">
        <f t="shared" si="0"/>
        <v>0</v>
      </c>
      <c r="J27" s="51"/>
      <c r="K27" s="376">
        <f t="shared" si="8"/>
        <v>82861.19585201345</v>
      </c>
      <c r="L27" s="53">
        <f t="shared" ref="L27" si="11">IF(K27&lt;&gt;0,+G27-K27,0)</f>
        <v>0</v>
      </c>
      <c r="M27" s="376">
        <f t="shared" si="9"/>
        <v>82861.19585201345</v>
      </c>
      <c r="N27" s="53">
        <f>IF(M27&lt;&gt;0,+H27-M27,0)</f>
        <v>0</v>
      </c>
      <c r="O27" s="53">
        <f t="shared" si="5"/>
        <v>0</v>
      </c>
      <c r="P27" s="1"/>
      <c r="R27" s="1"/>
      <c r="S27" s="1"/>
      <c r="T27" s="1"/>
      <c r="U27" s="1"/>
    </row>
    <row r="28" spans="2:21">
      <c r="B28" t="str">
        <f t="shared" si="6"/>
        <v>IU</v>
      </c>
      <c r="C28" s="49">
        <f>IF(D11="","-",+C27+1)</f>
        <v>2021</v>
      </c>
      <c r="D28" s="375">
        <v>573364.52140741248</v>
      </c>
      <c r="E28" s="373">
        <v>23348.967741935485</v>
      </c>
      <c r="F28" s="375">
        <v>550015.55366547697</v>
      </c>
      <c r="G28" s="373">
        <v>84115.442190341273</v>
      </c>
      <c r="H28" s="374">
        <v>84115.442190341273</v>
      </c>
      <c r="I28" s="51">
        <f t="shared" si="0"/>
        <v>0</v>
      </c>
      <c r="J28" s="51"/>
      <c r="K28" s="376">
        <f t="shared" si="8"/>
        <v>84115.442190341273</v>
      </c>
      <c r="L28" s="53">
        <f t="shared" ref="L28" si="12">IF(K28&lt;&gt;0,+G28-K28,0)</f>
        <v>0</v>
      </c>
      <c r="M28" s="376">
        <f t="shared" si="9"/>
        <v>84115.442190341273</v>
      </c>
      <c r="N28" s="53">
        <f t="shared" si="4"/>
        <v>0</v>
      </c>
      <c r="O28" s="53">
        <f t="shared" si="5"/>
        <v>0</v>
      </c>
      <c r="P28" s="1"/>
      <c r="R28" s="1"/>
      <c r="S28" s="1"/>
      <c r="T28" s="1"/>
      <c r="U28" s="1"/>
    </row>
    <row r="29" spans="2:21">
      <c r="B29" t="str">
        <f t="shared" si="6"/>
        <v/>
      </c>
      <c r="C29" s="49">
        <f>IF(D11="","-",+C28+1)</f>
        <v>2022</v>
      </c>
      <c r="D29" s="375">
        <v>550015.55366547697</v>
      </c>
      <c r="E29" s="373">
        <v>21933.878787878788</v>
      </c>
      <c r="F29" s="375">
        <v>528081.67487759818</v>
      </c>
      <c r="G29" s="373">
        <v>83794.43683291944</v>
      </c>
      <c r="H29" s="374">
        <v>83794.43683291944</v>
      </c>
      <c r="I29" s="51">
        <f t="shared" si="0"/>
        <v>0</v>
      </c>
      <c r="J29" s="51"/>
      <c r="K29" s="376">
        <f t="shared" ref="K29" si="13">G29</f>
        <v>83794.43683291944</v>
      </c>
      <c r="L29" s="53">
        <f t="shared" ref="L29" si="14">IF(K29&lt;&gt;0,+G29-K29,0)</f>
        <v>0</v>
      </c>
      <c r="M29" s="376">
        <f t="shared" ref="M29" si="15">H29</f>
        <v>83794.43683291944</v>
      </c>
      <c r="N29" s="53">
        <f t="shared" si="4"/>
        <v>0</v>
      </c>
      <c r="O29" s="53">
        <f t="shared" si="5"/>
        <v>0</v>
      </c>
      <c r="P29" s="1"/>
      <c r="R29" s="1"/>
      <c r="S29" s="1"/>
      <c r="T29" s="1"/>
      <c r="U29" s="1"/>
    </row>
    <row r="30" spans="2:21">
      <c r="B30" t="str">
        <f t="shared" si="6"/>
        <v/>
      </c>
      <c r="C30" s="49">
        <f>IF(D11="","-",+C29+1)</f>
        <v>2023</v>
      </c>
      <c r="D30" s="375">
        <v>528081.67487759818</v>
      </c>
      <c r="E30" s="373">
        <v>23348.967741935485</v>
      </c>
      <c r="F30" s="375">
        <v>504732.70713566267</v>
      </c>
      <c r="G30" s="373">
        <v>81719.946902595548</v>
      </c>
      <c r="H30" s="374">
        <v>81719.946902595548</v>
      </c>
      <c r="I30" s="51">
        <f t="shared" si="0"/>
        <v>0</v>
      </c>
      <c r="J30" s="51"/>
      <c r="K30" s="376">
        <f t="shared" ref="K30" si="16">G30</f>
        <v>81719.946902595548</v>
      </c>
      <c r="L30" s="53">
        <f t="shared" ref="L30" si="17">IF(K30&lt;&gt;0,+G30-K30,0)</f>
        <v>0</v>
      </c>
      <c r="M30" s="376">
        <f t="shared" ref="M30" si="18">H30</f>
        <v>81719.946902595548</v>
      </c>
      <c r="N30" s="53">
        <f t="shared" si="4"/>
        <v>0</v>
      </c>
      <c r="O30" s="53">
        <f t="shared" si="5"/>
        <v>0</v>
      </c>
      <c r="P30" s="1"/>
      <c r="R30" s="1"/>
      <c r="S30" s="1"/>
      <c r="T30" s="1"/>
      <c r="U30" s="1"/>
    </row>
    <row r="31" spans="2:21">
      <c r="B31" t="str">
        <f t="shared" si="6"/>
        <v/>
      </c>
      <c r="C31" s="49">
        <f>IF(D11="","-",+C30+1)</f>
        <v>2024</v>
      </c>
      <c r="D31" s="375">
        <v>504732.70713566267</v>
      </c>
      <c r="E31" s="373">
        <v>23348.967741935485</v>
      </c>
      <c r="F31" s="375">
        <v>481383.73939372716</v>
      </c>
      <c r="G31" s="373">
        <v>79523.896357772843</v>
      </c>
      <c r="H31" s="374">
        <v>79523.896357772843</v>
      </c>
      <c r="I31" s="51">
        <f t="shared" si="0"/>
        <v>0</v>
      </c>
      <c r="J31" s="51"/>
      <c r="K31" s="376">
        <f t="shared" ref="K31" si="19">G31</f>
        <v>79523.896357772843</v>
      </c>
      <c r="L31" s="53">
        <f t="shared" ref="L31" si="20">IF(K31&lt;&gt;0,+G31-K31,0)</f>
        <v>0</v>
      </c>
      <c r="M31" s="376">
        <f t="shared" ref="M31" si="21">H31</f>
        <v>79523.896357772843</v>
      </c>
      <c r="N31" s="53">
        <f t="shared" ref="N31" si="22">IF(M31&lt;&gt;0,+H31-M31,0)</f>
        <v>0</v>
      </c>
      <c r="O31" s="53">
        <f t="shared" ref="O31" si="23">+N31-L31</f>
        <v>0</v>
      </c>
      <c r="P31" s="1"/>
      <c r="R31" s="1"/>
      <c r="S31" s="1"/>
      <c r="T31" s="1"/>
      <c r="U31" s="1"/>
    </row>
    <row r="32" spans="2:21">
      <c r="C32" s="49">
        <f>IF(D12="","-",+C31+1)</f>
        <v>2025</v>
      </c>
      <c r="D32" s="375">
        <v>481383.73939372716</v>
      </c>
      <c r="E32" s="373">
        <v>24127.266666666666</v>
      </c>
      <c r="F32" s="375">
        <v>457256.47272706049</v>
      </c>
      <c r="G32" s="373">
        <v>77840.918733315004</v>
      </c>
      <c r="H32" s="374">
        <v>77840.918733315004</v>
      </c>
      <c r="I32" s="51">
        <f>H32-G32</f>
        <v>0</v>
      </c>
      <c r="J32" s="51"/>
      <c r="K32" s="376">
        <f t="shared" ref="K32" si="24">G32</f>
        <v>77840.918733315004</v>
      </c>
      <c r="L32" s="53">
        <f t="shared" ref="L32" si="25">IF(K32&lt;&gt;0,+G32-K32,0)</f>
        <v>0</v>
      </c>
      <c r="M32" s="376">
        <f t="shared" ref="M32" si="26">H32</f>
        <v>77840.918733315004</v>
      </c>
      <c r="N32" s="53">
        <f>IF(M32&lt;&gt;0,+H32-M32,0)</f>
        <v>0</v>
      </c>
      <c r="O32" s="53">
        <f>+N32-L32</f>
        <v>0</v>
      </c>
      <c r="P32" s="1"/>
      <c r="R32" s="1"/>
      <c r="S32" s="1"/>
      <c r="T32" s="1"/>
      <c r="U32" s="1"/>
    </row>
    <row r="33" spans="2:21">
      <c r="B33" t="str">
        <f>IF(D33=F31,"","IU")</f>
        <v/>
      </c>
      <c r="C33" s="49">
        <f>IF(D13="","-",+C32+1)</f>
        <v>2026</v>
      </c>
      <c r="D33" s="54">
        <f>IF(F31+SUM(E$17:E31)=D$10,F31,D$10-SUM(E$17:E31))</f>
        <v>481383.73939372716</v>
      </c>
      <c r="E33" s="377">
        <f>IF(+I14&lt;F31,I14,D33)</f>
        <v>24127.266666666666</v>
      </c>
      <c r="F33" s="54">
        <f t="shared" ref="F33:F49" si="27">+D33-E33</f>
        <v>457256.47272706049</v>
      </c>
      <c r="G33" s="378">
        <f t="shared" ref="G33:G73" si="28">(D33+F33)/2*I$12+E33</f>
        <v>77840.918733315004</v>
      </c>
      <c r="H33" s="359">
        <f t="shared" ref="H33:H73" si="29">+(D33+F33)/2*I$13+E33</f>
        <v>77840.918733315004</v>
      </c>
      <c r="I33" s="51">
        <f t="shared" si="0"/>
        <v>0</v>
      </c>
      <c r="J33" s="51"/>
      <c r="K33" s="112"/>
      <c r="L33" s="53">
        <f t="shared" si="2"/>
        <v>0</v>
      </c>
      <c r="M33" s="112"/>
      <c r="N33" s="53">
        <f t="shared" si="4"/>
        <v>0</v>
      </c>
      <c r="O33" s="53">
        <f t="shared" si="5"/>
        <v>0</v>
      </c>
      <c r="P33" s="1"/>
      <c r="R33" s="1"/>
      <c r="S33" s="1"/>
      <c r="T33" s="1"/>
      <c r="U33" s="1"/>
    </row>
    <row r="34" spans="2:21">
      <c r="B34" t="str">
        <f>IF(D34=F33,"","IU")</f>
        <v>IU</v>
      </c>
      <c r="C34" s="379">
        <f>IF(D11="","-",+C33+1)</f>
        <v>2027</v>
      </c>
      <c r="D34" s="380">
        <f>IF(F33+SUM(E$17:E33)=D$10,F33,D$10-SUM(E$17:E33))</f>
        <v>433129.20606039389</v>
      </c>
      <c r="E34" s="381">
        <f>IF(+I14&lt;F33,I14,D34)</f>
        <v>24127.266666666666</v>
      </c>
      <c r="F34" s="380">
        <f t="shared" si="27"/>
        <v>409001.93939372723</v>
      </c>
      <c r="G34" s="382">
        <f t="shared" si="28"/>
        <v>72318.190896524626</v>
      </c>
      <c r="H34" s="383">
        <f t="shared" si="29"/>
        <v>72318.190896524626</v>
      </c>
      <c r="I34" s="384">
        <f t="shared" si="0"/>
        <v>0</v>
      </c>
      <c r="J34" s="384"/>
      <c r="K34" s="385"/>
      <c r="L34" s="386">
        <f t="shared" si="2"/>
        <v>0</v>
      </c>
      <c r="M34" s="385"/>
      <c r="N34" s="386">
        <f t="shared" si="4"/>
        <v>0</v>
      </c>
      <c r="O34" s="386">
        <f t="shared" si="5"/>
        <v>0</v>
      </c>
      <c r="P34" s="387"/>
      <c r="Q34" s="187"/>
      <c r="R34" s="387"/>
      <c r="S34" s="387"/>
      <c r="T34" s="387"/>
      <c r="U34" s="1"/>
    </row>
    <row r="35" spans="2:21">
      <c r="B35" t="str">
        <f t="shared" si="6"/>
        <v/>
      </c>
      <c r="C35" s="49">
        <f>IF(D11="","-",+C34+1)</f>
        <v>2028</v>
      </c>
      <c r="D35" s="54">
        <f>IF(F34+SUM(E$17:E34)=D$10,F34,D$10-SUM(E$17:E34))</f>
        <v>409001.93939372723</v>
      </c>
      <c r="E35" s="377">
        <f>IF(+I14&lt;F34,I14,D35)</f>
        <v>24127.266666666666</v>
      </c>
      <c r="F35" s="54">
        <f t="shared" si="27"/>
        <v>384874.67272706056</v>
      </c>
      <c r="G35" s="378">
        <f t="shared" si="28"/>
        <v>69556.826978129437</v>
      </c>
      <c r="H35" s="359">
        <f t="shared" si="29"/>
        <v>69556.826978129437</v>
      </c>
      <c r="I35" s="51">
        <f t="shared" si="0"/>
        <v>0</v>
      </c>
      <c r="J35" s="51"/>
      <c r="K35" s="112"/>
      <c r="L35" s="53">
        <f t="shared" si="2"/>
        <v>0</v>
      </c>
      <c r="M35" s="112"/>
      <c r="N35" s="53">
        <f t="shared" si="4"/>
        <v>0</v>
      </c>
      <c r="O35" s="53">
        <f t="shared" si="5"/>
        <v>0</v>
      </c>
      <c r="P35" s="1"/>
      <c r="R35" s="1"/>
      <c r="S35" s="1"/>
      <c r="T35" s="1"/>
      <c r="U35" s="1"/>
    </row>
    <row r="36" spans="2:21">
      <c r="B36" t="str">
        <f t="shared" si="6"/>
        <v/>
      </c>
      <c r="C36" s="49">
        <f>IF(D11="","-",+C35+1)</f>
        <v>2029</v>
      </c>
      <c r="D36" s="54">
        <f>IF(F35+SUM(E$17:E35)=D$10,F35,D$10-SUM(E$17:E35))</f>
        <v>384874.67272706056</v>
      </c>
      <c r="E36" s="377">
        <f>IF(+I14&lt;F35,I14,D36)</f>
        <v>24127.266666666666</v>
      </c>
      <c r="F36" s="54">
        <f t="shared" si="27"/>
        <v>360747.4060603939</v>
      </c>
      <c r="G36" s="378">
        <f t="shared" si="28"/>
        <v>66795.463059734248</v>
      </c>
      <c r="H36" s="359">
        <f t="shared" si="29"/>
        <v>66795.463059734248</v>
      </c>
      <c r="I36" s="51">
        <f t="shared" si="0"/>
        <v>0</v>
      </c>
      <c r="J36" s="51"/>
      <c r="K36" s="112"/>
      <c r="L36" s="53">
        <f t="shared" si="2"/>
        <v>0</v>
      </c>
      <c r="M36" s="112"/>
      <c r="N36" s="53">
        <f t="shared" si="4"/>
        <v>0</v>
      </c>
      <c r="O36" s="53">
        <f t="shared" si="5"/>
        <v>0</v>
      </c>
      <c r="P36" s="1"/>
      <c r="R36" s="1"/>
      <c r="S36" s="1"/>
      <c r="T36" s="1"/>
      <c r="U36" s="1"/>
    </row>
    <row r="37" spans="2:21">
      <c r="B37" t="str">
        <f t="shared" si="6"/>
        <v/>
      </c>
      <c r="C37" s="49">
        <f>IF(D11="","-",+C36+1)</f>
        <v>2030</v>
      </c>
      <c r="D37" s="54">
        <f>IF(F36+SUM(E$17:E36)=D$10,F36,D$10-SUM(E$17:E36))</f>
        <v>360747.4060603939</v>
      </c>
      <c r="E37" s="377">
        <f>IF(+I14&lt;F36,I14,D37)</f>
        <v>24127.266666666666</v>
      </c>
      <c r="F37" s="54">
        <f t="shared" si="27"/>
        <v>336620.13939372724</v>
      </c>
      <c r="G37" s="378">
        <f t="shared" si="28"/>
        <v>64034.099141339058</v>
      </c>
      <c r="H37" s="359">
        <f t="shared" si="29"/>
        <v>64034.099141339058</v>
      </c>
      <c r="I37" s="51">
        <f t="shared" si="0"/>
        <v>0</v>
      </c>
      <c r="J37" s="51"/>
      <c r="K37" s="112"/>
      <c r="L37" s="53">
        <f t="shared" si="2"/>
        <v>0</v>
      </c>
      <c r="M37" s="112"/>
      <c r="N37" s="53">
        <f t="shared" si="4"/>
        <v>0</v>
      </c>
      <c r="O37" s="53">
        <f t="shared" si="5"/>
        <v>0</v>
      </c>
      <c r="P37" s="1"/>
      <c r="R37" s="1"/>
      <c r="S37" s="1"/>
      <c r="T37" s="1"/>
      <c r="U37" s="1"/>
    </row>
    <row r="38" spans="2:21">
      <c r="B38" t="str">
        <f t="shared" si="6"/>
        <v/>
      </c>
      <c r="C38" s="49">
        <f>IF(D11="","-",+C37+1)</f>
        <v>2031</v>
      </c>
      <c r="D38" s="54">
        <f>IF(F37+SUM(E$17:E37)=D$10,F37,D$10-SUM(E$17:E37))</f>
        <v>336620.13939372724</v>
      </c>
      <c r="E38" s="377">
        <f>IF(+I14&lt;F37,I14,D38)</f>
        <v>24127.266666666666</v>
      </c>
      <c r="F38" s="54">
        <f t="shared" si="27"/>
        <v>312492.87272706057</v>
      </c>
      <c r="G38" s="378">
        <f t="shared" si="28"/>
        <v>61272.735222943855</v>
      </c>
      <c r="H38" s="359">
        <f t="shared" si="29"/>
        <v>61272.735222943855</v>
      </c>
      <c r="I38" s="51">
        <f t="shared" si="0"/>
        <v>0</v>
      </c>
      <c r="J38" s="51"/>
      <c r="K38" s="112"/>
      <c r="L38" s="53">
        <f t="shared" si="2"/>
        <v>0</v>
      </c>
      <c r="M38" s="112"/>
      <c r="N38" s="53">
        <f t="shared" si="4"/>
        <v>0</v>
      </c>
      <c r="O38" s="53">
        <f t="shared" si="5"/>
        <v>0</v>
      </c>
      <c r="P38" s="1"/>
      <c r="R38" s="1"/>
      <c r="S38" s="1"/>
      <c r="T38" s="1"/>
      <c r="U38" s="1"/>
    </row>
    <row r="39" spans="2:21">
      <c r="B39" t="str">
        <f t="shared" si="6"/>
        <v/>
      </c>
      <c r="C39" s="49">
        <f>IF(D11="","-",+C38+1)</f>
        <v>2032</v>
      </c>
      <c r="D39" s="54">
        <f>IF(F38+SUM(E$17:E38)=D$10,F38,D$10-SUM(E$17:E38))</f>
        <v>312492.87272706057</v>
      </c>
      <c r="E39" s="377">
        <f>IF(+I14&lt;F38,I14,D39)</f>
        <v>24127.266666666666</v>
      </c>
      <c r="F39" s="54">
        <f t="shared" si="27"/>
        <v>288365.60606039391</v>
      </c>
      <c r="G39" s="378">
        <f t="shared" si="28"/>
        <v>58511.37130454868</v>
      </c>
      <c r="H39" s="359">
        <f t="shared" si="29"/>
        <v>58511.37130454868</v>
      </c>
      <c r="I39" s="51">
        <f t="shared" si="0"/>
        <v>0</v>
      </c>
      <c r="J39" s="51"/>
      <c r="K39" s="112"/>
      <c r="L39" s="53">
        <f t="shared" si="2"/>
        <v>0</v>
      </c>
      <c r="M39" s="112"/>
      <c r="N39" s="53">
        <f t="shared" si="4"/>
        <v>0</v>
      </c>
      <c r="O39" s="53">
        <f t="shared" si="5"/>
        <v>0</v>
      </c>
      <c r="P39" s="1"/>
      <c r="R39" s="1"/>
      <c r="S39" s="1"/>
      <c r="T39" s="1"/>
      <c r="U39" s="1"/>
    </row>
    <row r="40" spans="2:21">
      <c r="B40" t="str">
        <f t="shared" si="6"/>
        <v/>
      </c>
      <c r="C40" s="49">
        <f>IF(D11="","-",+C39+1)</f>
        <v>2033</v>
      </c>
      <c r="D40" s="54">
        <f>IF(F39+SUM(E$17:E39)=D$10,F39,D$10-SUM(E$17:E39))</f>
        <v>288365.60606039391</v>
      </c>
      <c r="E40" s="377">
        <f>IF(+I14&lt;F39,I14,D40)</f>
        <v>24127.266666666666</v>
      </c>
      <c r="F40" s="54">
        <f t="shared" si="27"/>
        <v>264238.33939372725</v>
      </c>
      <c r="G40" s="378">
        <f t="shared" si="28"/>
        <v>55750.007386153477</v>
      </c>
      <c r="H40" s="359">
        <f t="shared" si="29"/>
        <v>55750.007386153477</v>
      </c>
      <c r="I40" s="51">
        <f t="shared" si="0"/>
        <v>0</v>
      </c>
      <c r="J40" s="51"/>
      <c r="K40" s="112"/>
      <c r="L40" s="53">
        <f t="shared" si="2"/>
        <v>0</v>
      </c>
      <c r="M40" s="112"/>
      <c r="N40" s="53">
        <f t="shared" si="4"/>
        <v>0</v>
      </c>
      <c r="O40" s="53">
        <f t="shared" si="5"/>
        <v>0</v>
      </c>
      <c r="P40" s="1"/>
      <c r="R40" s="1"/>
      <c r="S40" s="1"/>
      <c r="T40" s="1"/>
      <c r="U40" s="1"/>
    </row>
    <row r="41" spans="2:21">
      <c r="B41" t="str">
        <f t="shared" si="6"/>
        <v/>
      </c>
      <c r="C41" s="49">
        <f>IF(D12="","-",+C40+1)</f>
        <v>2034</v>
      </c>
      <c r="D41" s="54">
        <f>IF(F40+SUM(E$17:E40)=D$10,F40,D$10-SUM(E$17:E40))</f>
        <v>264238.33939372725</v>
      </c>
      <c r="E41" s="377">
        <f>IF(+I14&lt;F40,I14,D41)</f>
        <v>24127.266666666666</v>
      </c>
      <c r="F41" s="54">
        <f t="shared" si="27"/>
        <v>240111.07272706059</v>
      </c>
      <c r="G41" s="378">
        <f t="shared" si="28"/>
        <v>52988.643467758295</v>
      </c>
      <c r="H41" s="359">
        <f t="shared" si="29"/>
        <v>52988.643467758295</v>
      </c>
      <c r="I41" s="51">
        <f t="shared" si="0"/>
        <v>0</v>
      </c>
      <c r="J41" s="51"/>
      <c r="K41" s="112"/>
      <c r="L41" s="53">
        <f t="shared" si="2"/>
        <v>0</v>
      </c>
      <c r="M41" s="112"/>
      <c r="N41" s="53">
        <f t="shared" si="4"/>
        <v>0</v>
      </c>
      <c r="O41" s="53">
        <f t="shared" si="5"/>
        <v>0</v>
      </c>
      <c r="P41" s="1"/>
      <c r="R41" s="1"/>
      <c r="S41" s="1"/>
      <c r="T41" s="1"/>
      <c r="U41" s="1"/>
    </row>
    <row r="42" spans="2:21">
      <c r="B42" t="str">
        <f t="shared" si="6"/>
        <v/>
      </c>
      <c r="C42" s="49">
        <f>IF(D13="","-",+C41+1)</f>
        <v>2035</v>
      </c>
      <c r="D42" s="54">
        <f>IF(F41+SUM(E$17:E41)=D$10,F41,D$10-SUM(E$17:E41))</f>
        <v>240111.07272706059</v>
      </c>
      <c r="E42" s="377">
        <f>IF(+I14&lt;F41,I14,D42)</f>
        <v>24127.266666666666</v>
      </c>
      <c r="F42" s="54">
        <f t="shared" si="27"/>
        <v>215983.80606039392</v>
      </c>
      <c r="G42" s="378">
        <f t="shared" si="28"/>
        <v>50227.279549363106</v>
      </c>
      <c r="H42" s="359">
        <f t="shared" si="29"/>
        <v>50227.279549363106</v>
      </c>
      <c r="I42" s="51">
        <f t="shared" si="0"/>
        <v>0</v>
      </c>
      <c r="J42" s="51"/>
      <c r="K42" s="112"/>
      <c r="L42" s="53">
        <f t="shared" si="2"/>
        <v>0</v>
      </c>
      <c r="M42" s="112"/>
      <c r="N42" s="53">
        <f t="shared" si="4"/>
        <v>0</v>
      </c>
      <c r="O42" s="53">
        <f t="shared" si="5"/>
        <v>0</v>
      </c>
      <c r="P42" s="1"/>
      <c r="R42" s="1"/>
      <c r="S42" s="1"/>
      <c r="T42" s="1"/>
      <c r="U42" s="1"/>
    </row>
    <row r="43" spans="2:21">
      <c r="B43" t="str">
        <f t="shared" si="6"/>
        <v/>
      </c>
      <c r="C43" s="49">
        <f>IF(D11="","-",+C42+1)</f>
        <v>2036</v>
      </c>
      <c r="D43" s="54">
        <f>IF(F42+SUM(E$17:E42)=D$10,F42,D$10-SUM(E$17:E42))</f>
        <v>215983.80606039392</v>
      </c>
      <c r="E43" s="377">
        <f>IF(+I14&lt;F42,I14,D43)</f>
        <v>24127.266666666666</v>
      </c>
      <c r="F43" s="54">
        <f t="shared" si="27"/>
        <v>191856.53939372726</v>
      </c>
      <c r="G43" s="378">
        <f t="shared" si="28"/>
        <v>47465.915630967917</v>
      </c>
      <c r="H43" s="359">
        <f t="shared" si="29"/>
        <v>47465.915630967917</v>
      </c>
      <c r="I43" s="51">
        <f t="shared" si="0"/>
        <v>0</v>
      </c>
      <c r="J43" s="51"/>
      <c r="K43" s="112"/>
      <c r="L43" s="53">
        <f t="shared" si="2"/>
        <v>0</v>
      </c>
      <c r="M43" s="112"/>
      <c r="N43" s="53">
        <f t="shared" si="4"/>
        <v>0</v>
      </c>
      <c r="O43" s="53">
        <f t="shared" si="5"/>
        <v>0</v>
      </c>
      <c r="P43" s="1"/>
      <c r="R43" s="1"/>
      <c r="S43" s="1"/>
      <c r="T43" s="1"/>
      <c r="U43" s="1"/>
    </row>
    <row r="44" spans="2:21">
      <c r="B44" t="str">
        <f t="shared" si="6"/>
        <v/>
      </c>
      <c r="C44" s="49">
        <f>IF(D11="","-",+C43+1)</f>
        <v>2037</v>
      </c>
      <c r="D44" s="54">
        <f>IF(F43+SUM(E$17:E43)=D$10,F43,D$10-SUM(E$17:E43))</f>
        <v>191856.53939372726</v>
      </c>
      <c r="E44" s="377">
        <f>IF(+I14&lt;F43,I14,D44)</f>
        <v>24127.266666666666</v>
      </c>
      <c r="F44" s="54">
        <f t="shared" si="27"/>
        <v>167729.2727270606</v>
      </c>
      <c r="G44" s="378">
        <f t="shared" si="28"/>
        <v>44704.551712572727</v>
      </c>
      <c r="H44" s="359">
        <f t="shared" si="29"/>
        <v>44704.551712572727</v>
      </c>
      <c r="I44" s="51">
        <f t="shared" si="0"/>
        <v>0</v>
      </c>
      <c r="J44" s="51"/>
      <c r="K44" s="112"/>
      <c r="L44" s="53">
        <f t="shared" si="2"/>
        <v>0</v>
      </c>
      <c r="M44" s="112"/>
      <c r="N44" s="53">
        <f t="shared" si="4"/>
        <v>0</v>
      </c>
      <c r="O44" s="53">
        <f t="shared" si="5"/>
        <v>0</v>
      </c>
      <c r="P44" s="1"/>
      <c r="R44" s="1"/>
      <c r="S44" s="1"/>
      <c r="T44" s="1"/>
      <c r="U44" s="1"/>
    </row>
    <row r="45" spans="2:21">
      <c r="B45" t="str">
        <f t="shared" si="6"/>
        <v/>
      </c>
      <c r="C45" s="49">
        <f>IF(D11="","-",+C44+1)</f>
        <v>2038</v>
      </c>
      <c r="D45" s="54">
        <f>IF(F44+SUM(E$17:E44)=D$10,F44,D$10-SUM(E$17:E44))</f>
        <v>167729.2727270606</v>
      </c>
      <c r="E45" s="377">
        <f>IF(+I14&lt;F44,I14,D45)</f>
        <v>24127.266666666666</v>
      </c>
      <c r="F45" s="54">
        <f t="shared" si="27"/>
        <v>143602.00606039393</v>
      </c>
      <c r="G45" s="378">
        <f t="shared" si="28"/>
        <v>41943.187794177531</v>
      </c>
      <c r="H45" s="359">
        <f t="shared" si="29"/>
        <v>41943.187794177531</v>
      </c>
      <c r="I45" s="51">
        <f t="shared" si="0"/>
        <v>0</v>
      </c>
      <c r="J45" s="51"/>
      <c r="K45" s="112"/>
      <c r="L45" s="53">
        <f t="shared" si="2"/>
        <v>0</v>
      </c>
      <c r="M45" s="112"/>
      <c r="N45" s="53">
        <f t="shared" si="4"/>
        <v>0</v>
      </c>
      <c r="O45" s="53">
        <f t="shared" si="5"/>
        <v>0</v>
      </c>
      <c r="P45" s="1"/>
      <c r="R45" s="1"/>
      <c r="S45" s="1"/>
      <c r="T45" s="1"/>
      <c r="U45" s="1"/>
    </row>
    <row r="46" spans="2:21">
      <c r="B46" t="str">
        <f t="shared" si="6"/>
        <v/>
      </c>
      <c r="C46" s="49">
        <f>IF(D11="","-",+C45+1)</f>
        <v>2039</v>
      </c>
      <c r="D46" s="54">
        <f>IF(F45+SUM(E$17:E45)=D$10,F45,D$10-SUM(E$17:E45))</f>
        <v>143602.00606039393</v>
      </c>
      <c r="E46" s="377">
        <f>IF(+I14&lt;F45,I14,D46)</f>
        <v>24127.266666666666</v>
      </c>
      <c r="F46" s="54">
        <f t="shared" si="27"/>
        <v>119474.73939372727</v>
      </c>
      <c r="G46" s="378">
        <f t="shared" si="28"/>
        <v>39181.823875782342</v>
      </c>
      <c r="H46" s="359">
        <f t="shared" si="29"/>
        <v>39181.823875782342</v>
      </c>
      <c r="I46" s="51">
        <f t="shared" si="0"/>
        <v>0</v>
      </c>
      <c r="J46" s="51"/>
      <c r="K46" s="112"/>
      <c r="L46" s="53">
        <f t="shared" si="2"/>
        <v>0</v>
      </c>
      <c r="M46" s="112"/>
      <c r="N46" s="53">
        <f t="shared" si="4"/>
        <v>0</v>
      </c>
      <c r="O46" s="53">
        <f t="shared" si="5"/>
        <v>0</v>
      </c>
      <c r="P46" s="1"/>
      <c r="R46" s="1"/>
      <c r="S46" s="1"/>
      <c r="T46" s="1"/>
      <c r="U46" s="1"/>
    </row>
    <row r="47" spans="2:21">
      <c r="B47" t="str">
        <f t="shared" si="6"/>
        <v/>
      </c>
      <c r="C47" s="49">
        <f>IF(D11="","-",+C46+1)</f>
        <v>2040</v>
      </c>
      <c r="D47" s="54">
        <f>IF(F46+SUM(E$17:E46)=D$10,F46,D$10-SUM(E$17:E46))</f>
        <v>119474.73939372727</v>
      </c>
      <c r="E47" s="377">
        <f>IF(+I14&lt;F46,I14,D47)</f>
        <v>24127.266666666666</v>
      </c>
      <c r="F47" s="54">
        <f t="shared" si="27"/>
        <v>95347.472727060609</v>
      </c>
      <c r="G47" s="378">
        <f t="shared" si="28"/>
        <v>36420.459957387153</v>
      </c>
      <c r="H47" s="359">
        <f t="shared" si="29"/>
        <v>36420.459957387153</v>
      </c>
      <c r="I47" s="51">
        <f t="shared" si="0"/>
        <v>0</v>
      </c>
      <c r="J47" s="51"/>
      <c r="K47" s="112"/>
      <c r="L47" s="53">
        <f t="shared" si="2"/>
        <v>0</v>
      </c>
      <c r="M47" s="112"/>
      <c r="N47" s="53">
        <f t="shared" si="4"/>
        <v>0</v>
      </c>
      <c r="O47" s="53">
        <f t="shared" si="5"/>
        <v>0</v>
      </c>
      <c r="P47" s="1"/>
      <c r="R47" s="1"/>
      <c r="S47" s="1"/>
      <c r="T47" s="1"/>
      <c r="U47" s="1"/>
    </row>
    <row r="48" spans="2:21">
      <c r="B48" t="str">
        <f t="shared" si="6"/>
        <v/>
      </c>
      <c r="C48" s="49">
        <f>IF(D11="","-",+C47+1)</f>
        <v>2041</v>
      </c>
      <c r="D48" s="54">
        <f>IF(F47+SUM(E$17:E47)=D$10,F47,D$10-SUM(E$17:E47))</f>
        <v>95347.472727060609</v>
      </c>
      <c r="E48" s="377">
        <f>IF(+I14&lt;F47,I14,D48)</f>
        <v>24127.266666666666</v>
      </c>
      <c r="F48" s="54">
        <f t="shared" si="27"/>
        <v>71220.206060393946</v>
      </c>
      <c r="G48" s="378">
        <f t="shared" si="28"/>
        <v>33659.096038991964</v>
      </c>
      <c r="H48" s="359">
        <f t="shared" si="29"/>
        <v>33659.096038991964</v>
      </c>
      <c r="I48" s="51">
        <f t="shared" si="0"/>
        <v>0</v>
      </c>
      <c r="J48" s="51"/>
      <c r="K48" s="112"/>
      <c r="L48" s="53">
        <f t="shared" si="2"/>
        <v>0</v>
      </c>
      <c r="M48" s="112"/>
      <c r="N48" s="53">
        <f t="shared" si="4"/>
        <v>0</v>
      </c>
      <c r="O48" s="53">
        <f t="shared" si="5"/>
        <v>0</v>
      </c>
      <c r="P48" s="1"/>
      <c r="R48" s="1"/>
      <c r="S48" s="1"/>
      <c r="T48" s="1"/>
      <c r="U48" s="1"/>
    </row>
    <row r="49" spans="2:21">
      <c r="B49" t="str">
        <f t="shared" si="6"/>
        <v/>
      </c>
      <c r="C49" s="49">
        <f>IF(D11="","-",+C48+1)</f>
        <v>2042</v>
      </c>
      <c r="D49" s="54">
        <f>IF(F48+SUM(E$17:E48)=D$10,F48,D$10-SUM(E$17:E48))</f>
        <v>71220.206060393946</v>
      </c>
      <c r="E49" s="377">
        <f>IF(+I14&lt;F48,I14,D49)</f>
        <v>24127.266666666666</v>
      </c>
      <c r="F49" s="54">
        <f t="shared" si="27"/>
        <v>47092.939393727283</v>
      </c>
      <c r="G49" s="378">
        <f t="shared" si="28"/>
        <v>30897.732120596775</v>
      </c>
      <c r="H49" s="359">
        <f t="shared" si="29"/>
        <v>30897.732120596775</v>
      </c>
      <c r="I49" s="51">
        <f t="shared" si="0"/>
        <v>0</v>
      </c>
      <c r="J49" s="51"/>
      <c r="K49" s="112"/>
      <c r="L49" s="53">
        <f t="shared" si="2"/>
        <v>0</v>
      </c>
      <c r="M49" s="112"/>
      <c r="N49" s="53">
        <f t="shared" si="4"/>
        <v>0</v>
      </c>
      <c r="O49" s="53">
        <f t="shared" si="5"/>
        <v>0</v>
      </c>
      <c r="P49" s="1"/>
      <c r="R49" s="1"/>
      <c r="S49" s="1"/>
      <c r="T49" s="1"/>
      <c r="U49" s="1"/>
    </row>
    <row r="50" spans="2:21">
      <c r="B50" t="str">
        <f t="shared" si="6"/>
        <v/>
      </c>
      <c r="C50" s="49">
        <f>IF(D11="","-",+C49+1)</f>
        <v>2043</v>
      </c>
      <c r="D50" s="54">
        <f>IF(F49+SUM(E$17:E49)=D$10,F49,D$10-SUM(E$17:E49))</f>
        <v>47092.939393727283</v>
      </c>
      <c r="E50" s="377">
        <f>IF(+I14&lt;F49,I14,D50)</f>
        <v>24127.266666666666</v>
      </c>
      <c r="F50" s="54">
        <f t="shared" ref="F50:F73" si="30">+D50-E50</f>
        <v>22965.672727060617</v>
      </c>
      <c r="G50" s="378">
        <f t="shared" si="28"/>
        <v>28136.368202201586</v>
      </c>
      <c r="H50" s="359">
        <f t="shared" si="29"/>
        <v>28136.368202201586</v>
      </c>
      <c r="I50" s="51">
        <f t="shared" ref="I50:I73" si="31">H50-G50</f>
        <v>0</v>
      </c>
      <c r="J50" s="51"/>
      <c r="K50" s="112"/>
      <c r="L50" s="53">
        <f t="shared" ref="L50:L73" si="32">IF(K50&lt;&gt;0,+G50-K50,0)</f>
        <v>0</v>
      </c>
      <c r="M50" s="112"/>
      <c r="N50" s="53">
        <f t="shared" ref="N50:N73" si="33">IF(M50&lt;&gt;0,+H50-M50,0)</f>
        <v>0</v>
      </c>
      <c r="O50" s="53">
        <f t="shared" ref="O50:O73" si="34">+N50-L50</f>
        <v>0</v>
      </c>
      <c r="P50" s="1"/>
      <c r="R50" s="1"/>
      <c r="S50" s="1"/>
      <c r="T50" s="1"/>
      <c r="U50" s="1"/>
    </row>
    <row r="51" spans="2:21">
      <c r="B51" t="str">
        <f t="shared" si="6"/>
        <v/>
      </c>
      <c r="C51" s="49">
        <f>IF(D11="","-",+C50+1)</f>
        <v>2044</v>
      </c>
      <c r="D51" s="54">
        <f>IF(F50+SUM(E$17:E50)=D$10,F50,D$10-SUM(E$17:E50))</f>
        <v>22965.672727060617</v>
      </c>
      <c r="E51" s="377">
        <f>IF(+I14&lt;F50,I14,D51)</f>
        <v>22965.672727060617</v>
      </c>
      <c r="F51" s="54">
        <f t="shared" si="30"/>
        <v>0</v>
      </c>
      <c r="G51" s="378">
        <f t="shared" si="28"/>
        <v>24279.882515229281</v>
      </c>
      <c r="H51" s="359">
        <f t="shared" si="29"/>
        <v>24279.882515229281</v>
      </c>
      <c r="I51" s="51">
        <f t="shared" si="31"/>
        <v>0</v>
      </c>
      <c r="J51" s="51"/>
      <c r="K51" s="112"/>
      <c r="L51" s="53">
        <f t="shared" si="32"/>
        <v>0</v>
      </c>
      <c r="M51" s="112"/>
      <c r="N51" s="53">
        <f t="shared" si="33"/>
        <v>0</v>
      </c>
      <c r="O51" s="53">
        <f t="shared" si="34"/>
        <v>0</v>
      </c>
      <c r="P51" s="1"/>
      <c r="R51" s="1"/>
      <c r="S51" s="1"/>
      <c r="T51" s="1"/>
      <c r="U51" s="1"/>
    </row>
    <row r="52" spans="2:21">
      <c r="B52" t="str">
        <f t="shared" si="6"/>
        <v/>
      </c>
      <c r="C52" s="49">
        <f>IF(D11="","-",+C51+1)</f>
        <v>2045</v>
      </c>
      <c r="D52" s="54">
        <f>IF(F51+SUM(E$17:E51)=D$10,F51,D$10-SUM(E$17:E51))</f>
        <v>0</v>
      </c>
      <c r="E52" s="377">
        <f>IF(+I14&lt;F51,I14,D52)</f>
        <v>0</v>
      </c>
      <c r="F52" s="54">
        <f t="shared" si="30"/>
        <v>0</v>
      </c>
      <c r="G52" s="378">
        <f t="shared" si="28"/>
        <v>0</v>
      </c>
      <c r="H52" s="359">
        <f t="shared" si="29"/>
        <v>0</v>
      </c>
      <c r="I52" s="51">
        <f t="shared" si="31"/>
        <v>0</v>
      </c>
      <c r="J52" s="51"/>
      <c r="K52" s="112"/>
      <c r="L52" s="53">
        <f t="shared" si="32"/>
        <v>0</v>
      </c>
      <c r="M52" s="112"/>
      <c r="N52" s="53">
        <f t="shared" si="33"/>
        <v>0</v>
      </c>
      <c r="O52" s="53">
        <f t="shared" si="34"/>
        <v>0</v>
      </c>
      <c r="P52" s="1"/>
      <c r="R52" s="1"/>
      <c r="S52" s="1"/>
      <c r="T52" s="1"/>
      <c r="U52" s="1"/>
    </row>
    <row r="53" spans="2:21">
      <c r="B53" t="str">
        <f t="shared" si="6"/>
        <v/>
      </c>
      <c r="C53" s="49">
        <f>IF(D11="","-",+C52+1)</f>
        <v>2046</v>
      </c>
      <c r="D53" s="54">
        <f>IF(F52+SUM(E$17:E52)=D$10,F52,D$10-SUM(E$17:E52))</f>
        <v>0</v>
      </c>
      <c r="E53" s="377">
        <f>IF(+I14&lt;F52,I14,D53)</f>
        <v>0</v>
      </c>
      <c r="F53" s="54">
        <f t="shared" si="30"/>
        <v>0</v>
      </c>
      <c r="G53" s="378">
        <f t="shared" si="28"/>
        <v>0</v>
      </c>
      <c r="H53" s="359">
        <f t="shared" si="29"/>
        <v>0</v>
      </c>
      <c r="I53" s="51">
        <f t="shared" si="31"/>
        <v>0</v>
      </c>
      <c r="J53" s="51"/>
      <c r="K53" s="112"/>
      <c r="L53" s="53">
        <f t="shared" si="32"/>
        <v>0</v>
      </c>
      <c r="M53" s="112"/>
      <c r="N53" s="53">
        <f t="shared" si="33"/>
        <v>0</v>
      </c>
      <c r="O53" s="53">
        <f t="shared" si="34"/>
        <v>0</v>
      </c>
      <c r="P53" s="1"/>
      <c r="R53" s="1"/>
      <c r="S53" s="1"/>
      <c r="T53" s="1"/>
      <c r="U53" s="1"/>
    </row>
    <row r="54" spans="2:21">
      <c r="B54" t="str">
        <f t="shared" si="6"/>
        <v/>
      </c>
      <c r="C54" s="49">
        <f>IF(D11="","-",+C53+1)</f>
        <v>2047</v>
      </c>
      <c r="D54" s="54">
        <f>IF(F53+SUM(E$17:E53)=D$10,F53,D$10-SUM(E$17:E53))</f>
        <v>0</v>
      </c>
      <c r="E54" s="377">
        <f>IF(+I14&lt;F53,I14,D54)</f>
        <v>0</v>
      </c>
      <c r="F54" s="54">
        <f t="shared" si="30"/>
        <v>0</v>
      </c>
      <c r="G54" s="378">
        <f t="shared" si="28"/>
        <v>0</v>
      </c>
      <c r="H54" s="359">
        <f t="shared" si="29"/>
        <v>0</v>
      </c>
      <c r="I54" s="51">
        <f t="shared" si="31"/>
        <v>0</v>
      </c>
      <c r="J54" s="51"/>
      <c r="K54" s="112"/>
      <c r="L54" s="53">
        <f t="shared" si="32"/>
        <v>0</v>
      </c>
      <c r="M54" s="112"/>
      <c r="N54" s="53">
        <f t="shared" si="33"/>
        <v>0</v>
      </c>
      <c r="O54" s="53">
        <f t="shared" si="34"/>
        <v>0</v>
      </c>
      <c r="P54" s="1"/>
      <c r="R54" s="1"/>
      <c r="S54" s="1"/>
      <c r="T54" s="1"/>
      <c r="U54" s="1"/>
    </row>
    <row r="55" spans="2:21">
      <c r="B55" t="str">
        <f t="shared" si="6"/>
        <v/>
      </c>
      <c r="C55" s="49">
        <f>IF(D11="","-",+C54+1)</f>
        <v>2048</v>
      </c>
      <c r="D55" s="54">
        <f>IF(F54+SUM(E$17:E54)=D$10,F54,D$10-SUM(E$17:E54))</f>
        <v>0</v>
      </c>
      <c r="E55" s="377">
        <f>IF(+I14&lt;F54,I14,D55)</f>
        <v>0</v>
      </c>
      <c r="F55" s="54">
        <f t="shared" si="30"/>
        <v>0</v>
      </c>
      <c r="G55" s="378">
        <f t="shared" si="28"/>
        <v>0</v>
      </c>
      <c r="H55" s="359">
        <f t="shared" si="29"/>
        <v>0</v>
      </c>
      <c r="I55" s="51">
        <f t="shared" si="31"/>
        <v>0</v>
      </c>
      <c r="J55" s="51"/>
      <c r="K55" s="112"/>
      <c r="L55" s="53">
        <f t="shared" si="32"/>
        <v>0</v>
      </c>
      <c r="M55" s="112"/>
      <c r="N55" s="53">
        <f t="shared" si="33"/>
        <v>0</v>
      </c>
      <c r="O55" s="53">
        <f t="shared" si="34"/>
        <v>0</v>
      </c>
      <c r="P55" s="1"/>
      <c r="R55" s="1"/>
      <c r="S55" s="1"/>
      <c r="T55" s="1"/>
      <c r="U55" s="1"/>
    </row>
    <row r="56" spans="2:21">
      <c r="B56" t="str">
        <f t="shared" si="6"/>
        <v/>
      </c>
      <c r="C56" s="49">
        <f>IF(D11="","-",+C55+1)</f>
        <v>2049</v>
      </c>
      <c r="D56" s="54">
        <f>IF(F55+SUM(E$17:E55)=D$10,F55,D$10-SUM(E$17:E55))</f>
        <v>0</v>
      </c>
      <c r="E56" s="377">
        <f>IF(+I14&lt;F55,I14,D56)</f>
        <v>0</v>
      </c>
      <c r="F56" s="54">
        <f t="shared" si="30"/>
        <v>0</v>
      </c>
      <c r="G56" s="378">
        <f t="shared" si="28"/>
        <v>0</v>
      </c>
      <c r="H56" s="359">
        <f t="shared" si="29"/>
        <v>0</v>
      </c>
      <c r="I56" s="51">
        <f t="shared" si="31"/>
        <v>0</v>
      </c>
      <c r="J56" s="51"/>
      <c r="K56" s="112"/>
      <c r="L56" s="53">
        <f t="shared" si="32"/>
        <v>0</v>
      </c>
      <c r="M56" s="112"/>
      <c r="N56" s="53">
        <f t="shared" si="33"/>
        <v>0</v>
      </c>
      <c r="O56" s="53">
        <f t="shared" si="34"/>
        <v>0</v>
      </c>
      <c r="P56" s="1"/>
      <c r="R56" s="1"/>
      <c r="S56" s="1"/>
      <c r="T56" s="1"/>
      <c r="U56" s="1"/>
    </row>
    <row r="57" spans="2:21">
      <c r="B57" t="str">
        <f t="shared" si="6"/>
        <v/>
      </c>
      <c r="C57" s="49">
        <f>IF(D11="","-",+C56+1)</f>
        <v>2050</v>
      </c>
      <c r="D57" s="54">
        <f>IF(F56+SUM(E$17:E56)=D$10,F56,D$10-SUM(E$17:E56))</f>
        <v>0</v>
      </c>
      <c r="E57" s="377">
        <f>IF(+I14&lt;F56,I14,D57)</f>
        <v>0</v>
      </c>
      <c r="F57" s="54">
        <f t="shared" si="30"/>
        <v>0</v>
      </c>
      <c r="G57" s="378">
        <f t="shared" si="28"/>
        <v>0</v>
      </c>
      <c r="H57" s="359">
        <f t="shared" si="29"/>
        <v>0</v>
      </c>
      <c r="I57" s="51">
        <f t="shared" si="31"/>
        <v>0</v>
      </c>
      <c r="J57" s="51"/>
      <c r="K57" s="112"/>
      <c r="L57" s="53">
        <f t="shared" si="32"/>
        <v>0</v>
      </c>
      <c r="M57" s="112"/>
      <c r="N57" s="53">
        <f t="shared" si="33"/>
        <v>0</v>
      </c>
      <c r="O57" s="53">
        <f t="shared" si="34"/>
        <v>0</v>
      </c>
      <c r="P57" s="1"/>
      <c r="R57" s="1"/>
      <c r="S57" s="1"/>
      <c r="T57" s="1"/>
      <c r="U57" s="1"/>
    </row>
    <row r="58" spans="2:21">
      <c r="B58" t="str">
        <f t="shared" si="6"/>
        <v/>
      </c>
      <c r="C58" s="49">
        <f>IF(D11="","-",+C57+1)</f>
        <v>2051</v>
      </c>
      <c r="D58" s="54">
        <f>IF(F57+SUM(E$17:E57)=D$10,F57,D$10-SUM(E$17:E57))</f>
        <v>0</v>
      </c>
      <c r="E58" s="377">
        <f>IF(+I14&lt;F57,I14,D58)</f>
        <v>0</v>
      </c>
      <c r="F58" s="54">
        <f t="shared" si="30"/>
        <v>0</v>
      </c>
      <c r="G58" s="378">
        <f t="shared" si="28"/>
        <v>0</v>
      </c>
      <c r="H58" s="359">
        <f t="shared" si="29"/>
        <v>0</v>
      </c>
      <c r="I58" s="51">
        <f t="shared" si="31"/>
        <v>0</v>
      </c>
      <c r="J58" s="51"/>
      <c r="K58" s="112"/>
      <c r="L58" s="53">
        <f t="shared" si="32"/>
        <v>0</v>
      </c>
      <c r="M58" s="112"/>
      <c r="N58" s="53">
        <f t="shared" si="33"/>
        <v>0</v>
      </c>
      <c r="O58" s="53">
        <f t="shared" si="34"/>
        <v>0</v>
      </c>
      <c r="P58" s="1"/>
      <c r="R58" s="1"/>
      <c r="S58" s="1"/>
      <c r="T58" s="1"/>
      <c r="U58" s="1"/>
    </row>
    <row r="59" spans="2:21">
      <c r="B59" t="str">
        <f t="shared" si="6"/>
        <v/>
      </c>
      <c r="C59" s="49">
        <f>IF(D11="","-",+C58+1)</f>
        <v>2052</v>
      </c>
      <c r="D59" s="54">
        <f>IF(F58+SUM(E$17:E58)=D$10,F58,D$10-SUM(E$17:E58))</f>
        <v>0</v>
      </c>
      <c r="E59" s="377">
        <f>IF(+I14&lt;F58,I14,D59)</f>
        <v>0</v>
      </c>
      <c r="F59" s="54">
        <f t="shared" si="30"/>
        <v>0</v>
      </c>
      <c r="G59" s="378">
        <f t="shared" si="28"/>
        <v>0</v>
      </c>
      <c r="H59" s="359">
        <f t="shared" si="29"/>
        <v>0</v>
      </c>
      <c r="I59" s="51">
        <f t="shared" si="31"/>
        <v>0</v>
      </c>
      <c r="J59" s="51"/>
      <c r="K59" s="112"/>
      <c r="L59" s="53">
        <f t="shared" si="32"/>
        <v>0</v>
      </c>
      <c r="M59" s="112"/>
      <c r="N59" s="53">
        <f t="shared" si="33"/>
        <v>0</v>
      </c>
      <c r="O59" s="53">
        <f t="shared" si="34"/>
        <v>0</v>
      </c>
      <c r="P59" s="1"/>
      <c r="R59" s="1"/>
      <c r="S59" s="1"/>
      <c r="T59" s="1"/>
      <c r="U59" s="1"/>
    </row>
    <row r="60" spans="2:21">
      <c r="B60" t="str">
        <f t="shared" si="6"/>
        <v/>
      </c>
      <c r="C60" s="49">
        <f>IF(D11="","-",+C59+1)</f>
        <v>2053</v>
      </c>
      <c r="D60" s="54">
        <f>IF(F59+SUM(E$17:E59)=D$10,F59,D$10-SUM(E$17:E59))</f>
        <v>0</v>
      </c>
      <c r="E60" s="377">
        <f>IF(+I14&lt;F59,I14,D60)</f>
        <v>0</v>
      </c>
      <c r="F60" s="54">
        <f t="shared" si="30"/>
        <v>0</v>
      </c>
      <c r="G60" s="378">
        <f t="shared" si="28"/>
        <v>0</v>
      </c>
      <c r="H60" s="359">
        <f t="shared" si="29"/>
        <v>0</v>
      </c>
      <c r="I60" s="51">
        <f t="shared" si="31"/>
        <v>0</v>
      </c>
      <c r="J60" s="51"/>
      <c r="K60" s="112"/>
      <c r="L60" s="53">
        <f t="shared" si="32"/>
        <v>0</v>
      </c>
      <c r="M60" s="112"/>
      <c r="N60" s="53">
        <f t="shared" si="33"/>
        <v>0</v>
      </c>
      <c r="O60" s="53">
        <f t="shared" si="34"/>
        <v>0</v>
      </c>
      <c r="P60" s="1"/>
      <c r="R60" s="1"/>
      <c r="S60" s="1"/>
      <c r="T60" s="1"/>
      <c r="U60" s="1"/>
    </row>
    <row r="61" spans="2:21">
      <c r="B61" t="str">
        <f t="shared" si="6"/>
        <v/>
      </c>
      <c r="C61" s="49">
        <f>IF(D11="","-",+C60+1)</f>
        <v>2054</v>
      </c>
      <c r="D61" s="54">
        <f>IF(F60+SUM(E$17:E60)=D$10,F60,D$10-SUM(E$17:E60))</f>
        <v>0</v>
      </c>
      <c r="E61" s="377">
        <f>IF(+I14&lt;F60,I14,D61)</f>
        <v>0</v>
      </c>
      <c r="F61" s="54">
        <f t="shared" si="30"/>
        <v>0</v>
      </c>
      <c r="G61" s="378">
        <f t="shared" si="28"/>
        <v>0</v>
      </c>
      <c r="H61" s="359">
        <f t="shared" si="29"/>
        <v>0</v>
      </c>
      <c r="I61" s="51">
        <f t="shared" si="31"/>
        <v>0</v>
      </c>
      <c r="J61" s="51"/>
      <c r="K61" s="112"/>
      <c r="L61" s="53">
        <f t="shared" si="32"/>
        <v>0</v>
      </c>
      <c r="M61" s="112"/>
      <c r="N61" s="53">
        <f t="shared" si="33"/>
        <v>0</v>
      </c>
      <c r="O61" s="53">
        <f t="shared" si="34"/>
        <v>0</v>
      </c>
      <c r="P61" s="1"/>
      <c r="R61" s="1"/>
      <c r="S61" s="1"/>
      <c r="T61" s="1"/>
      <c r="U61" s="1"/>
    </row>
    <row r="62" spans="2:21">
      <c r="B62" t="str">
        <f t="shared" si="6"/>
        <v/>
      </c>
      <c r="C62" s="49">
        <f>IF(D11="","-",+C61+1)</f>
        <v>2055</v>
      </c>
      <c r="D62" s="54">
        <f>IF(F61+SUM(E$17:E61)=D$10,F61,D$10-SUM(E$17:E61))</f>
        <v>0</v>
      </c>
      <c r="E62" s="377">
        <f>IF(+I14&lt;F61,I14,D62)</f>
        <v>0</v>
      </c>
      <c r="F62" s="54">
        <f t="shared" si="30"/>
        <v>0</v>
      </c>
      <c r="G62" s="388">
        <f t="shared" si="28"/>
        <v>0</v>
      </c>
      <c r="H62" s="359">
        <f t="shared" si="29"/>
        <v>0</v>
      </c>
      <c r="I62" s="51">
        <f t="shared" si="31"/>
        <v>0</v>
      </c>
      <c r="J62" s="51"/>
      <c r="K62" s="112"/>
      <c r="L62" s="53">
        <f t="shared" si="32"/>
        <v>0</v>
      </c>
      <c r="M62" s="112"/>
      <c r="N62" s="53">
        <f t="shared" si="33"/>
        <v>0</v>
      </c>
      <c r="O62" s="53">
        <f t="shared" si="34"/>
        <v>0</v>
      </c>
      <c r="P62" s="1"/>
      <c r="R62" s="1"/>
      <c r="S62" s="1"/>
      <c r="T62" s="1"/>
      <c r="U62" s="1"/>
    </row>
    <row r="63" spans="2:21">
      <c r="B63" t="str">
        <f t="shared" si="6"/>
        <v/>
      </c>
      <c r="C63" s="49">
        <f>IF(D11="","-",+C62+1)</f>
        <v>2056</v>
      </c>
      <c r="D63" s="54">
        <f>IF(F62+SUM(E$17:E62)=D$10,F62,D$10-SUM(E$17:E62))</f>
        <v>0</v>
      </c>
      <c r="E63" s="377">
        <f>IF(+I14&lt;F62,I14,D63)</f>
        <v>0</v>
      </c>
      <c r="F63" s="54">
        <f t="shared" si="30"/>
        <v>0</v>
      </c>
      <c r="G63" s="388">
        <f t="shared" si="28"/>
        <v>0</v>
      </c>
      <c r="H63" s="359">
        <f t="shared" si="29"/>
        <v>0</v>
      </c>
      <c r="I63" s="51">
        <f t="shared" si="31"/>
        <v>0</v>
      </c>
      <c r="J63" s="51"/>
      <c r="K63" s="112"/>
      <c r="L63" s="53">
        <f t="shared" si="32"/>
        <v>0</v>
      </c>
      <c r="M63" s="112"/>
      <c r="N63" s="53">
        <f t="shared" si="33"/>
        <v>0</v>
      </c>
      <c r="O63" s="53">
        <f t="shared" si="34"/>
        <v>0</v>
      </c>
      <c r="P63" s="1"/>
      <c r="R63" s="1"/>
      <c r="S63" s="1"/>
      <c r="T63" s="1"/>
      <c r="U63" s="1"/>
    </row>
    <row r="64" spans="2:21">
      <c r="B64" t="str">
        <f t="shared" si="6"/>
        <v/>
      </c>
      <c r="C64" s="49">
        <f>IF(D11="","-",+C63+1)</f>
        <v>2057</v>
      </c>
      <c r="D64" s="54">
        <f>IF(F63+SUM(E$17:E63)=D$10,F63,D$10-SUM(E$17:E63))</f>
        <v>0</v>
      </c>
      <c r="E64" s="377">
        <f>IF(+I14&lt;F63,I14,D64)</f>
        <v>0</v>
      </c>
      <c r="F64" s="54">
        <f t="shared" si="30"/>
        <v>0</v>
      </c>
      <c r="G64" s="388">
        <f t="shared" si="28"/>
        <v>0</v>
      </c>
      <c r="H64" s="359">
        <f t="shared" si="29"/>
        <v>0</v>
      </c>
      <c r="I64" s="51">
        <f t="shared" si="31"/>
        <v>0</v>
      </c>
      <c r="J64" s="51"/>
      <c r="K64" s="112"/>
      <c r="L64" s="53">
        <f t="shared" si="32"/>
        <v>0</v>
      </c>
      <c r="M64" s="112"/>
      <c r="N64" s="53">
        <f t="shared" si="33"/>
        <v>0</v>
      </c>
      <c r="O64" s="53">
        <f t="shared" si="34"/>
        <v>0</v>
      </c>
      <c r="P64" s="1"/>
      <c r="R64" s="1"/>
      <c r="S64" s="1"/>
      <c r="T64" s="1"/>
      <c r="U64" s="1"/>
    </row>
    <row r="65" spans="1:21">
      <c r="B65" t="str">
        <f t="shared" si="6"/>
        <v/>
      </c>
      <c r="C65" s="49">
        <f>IF(D11="","-",+C64+1)</f>
        <v>2058</v>
      </c>
      <c r="D65" s="54">
        <f>IF(F64+SUM(E$17:E64)=D$10,F64,D$10-SUM(E$17:E64))</f>
        <v>0</v>
      </c>
      <c r="E65" s="377">
        <f>IF(+I14&lt;F64,I14,D65)</f>
        <v>0</v>
      </c>
      <c r="F65" s="54">
        <f t="shared" si="30"/>
        <v>0</v>
      </c>
      <c r="G65" s="388">
        <f t="shared" si="28"/>
        <v>0</v>
      </c>
      <c r="H65" s="359">
        <f t="shared" si="29"/>
        <v>0</v>
      </c>
      <c r="I65" s="51">
        <f t="shared" si="31"/>
        <v>0</v>
      </c>
      <c r="J65" s="51"/>
      <c r="K65" s="112"/>
      <c r="L65" s="53">
        <f t="shared" si="32"/>
        <v>0</v>
      </c>
      <c r="M65" s="112"/>
      <c r="N65" s="53">
        <f t="shared" si="33"/>
        <v>0</v>
      </c>
      <c r="O65" s="53">
        <f t="shared" si="34"/>
        <v>0</v>
      </c>
      <c r="P65" s="1"/>
      <c r="R65" s="1"/>
      <c r="S65" s="1"/>
      <c r="T65" s="1"/>
      <c r="U65" s="1"/>
    </row>
    <row r="66" spans="1:21">
      <c r="B66" t="str">
        <f t="shared" si="6"/>
        <v/>
      </c>
      <c r="C66" s="49">
        <f>IF(D11="","-",+C65+1)</f>
        <v>2059</v>
      </c>
      <c r="D66" s="54">
        <f>IF(F65+SUM(E$17:E65)=D$10,F65,D$10-SUM(E$17:E65))</f>
        <v>0</v>
      </c>
      <c r="E66" s="377">
        <f>IF(+I14&lt;F65,I14,D66)</f>
        <v>0</v>
      </c>
      <c r="F66" s="54">
        <f t="shared" si="30"/>
        <v>0</v>
      </c>
      <c r="G66" s="388">
        <f t="shared" si="28"/>
        <v>0</v>
      </c>
      <c r="H66" s="359">
        <f t="shared" si="29"/>
        <v>0</v>
      </c>
      <c r="I66" s="51">
        <f t="shared" si="31"/>
        <v>0</v>
      </c>
      <c r="J66" s="51"/>
      <c r="K66" s="112"/>
      <c r="L66" s="53">
        <f t="shared" si="32"/>
        <v>0</v>
      </c>
      <c r="M66" s="112"/>
      <c r="N66" s="53">
        <f t="shared" si="33"/>
        <v>0</v>
      </c>
      <c r="O66" s="53">
        <f t="shared" si="34"/>
        <v>0</v>
      </c>
      <c r="P66" s="1"/>
      <c r="R66" s="1"/>
      <c r="S66" s="1"/>
      <c r="T66" s="1"/>
      <c r="U66" s="1"/>
    </row>
    <row r="67" spans="1:21">
      <c r="B67" t="str">
        <f t="shared" si="6"/>
        <v/>
      </c>
      <c r="C67" s="49">
        <f>IF(D11="","-",+C66+1)</f>
        <v>2060</v>
      </c>
      <c r="D67" s="54">
        <f>IF(F66+SUM(E$17:E66)=D$10,F66,D$10-SUM(E$17:E66))</f>
        <v>0</v>
      </c>
      <c r="E67" s="377">
        <f>IF(+I14&lt;F66,I14,D67)</f>
        <v>0</v>
      </c>
      <c r="F67" s="54">
        <f t="shared" si="30"/>
        <v>0</v>
      </c>
      <c r="G67" s="388">
        <f t="shared" si="28"/>
        <v>0</v>
      </c>
      <c r="H67" s="359">
        <f t="shared" si="29"/>
        <v>0</v>
      </c>
      <c r="I67" s="51">
        <f t="shared" si="31"/>
        <v>0</v>
      </c>
      <c r="J67" s="51"/>
      <c r="K67" s="112"/>
      <c r="L67" s="53">
        <f t="shared" si="32"/>
        <v>0</v>
      </c>
      <c r="M67" s="112"/>
      <c r="N67" s="53">
        <f t="shared" si="33"/>
        <v>0</v>
      </c>
      <c r="O67" s="53">
        <f t="shared" si="34"/>
        <v>0</v>
      </c>
      <c r="P67" s="1"/>
      <c r="R67" s="1"/>
      <c r="S67" s="1"/>
      <c r="T67" s="1"/>
      <c r="U67" s="1"/>
    </row>
    <row r="68" spans="1:21">
      <c r="B68" t="str">
        <f t="shared" si="6"/>
        <v/>
      </c>
      <c r="C68" s="49">
        <f>IF(D11="","-",+C67+1)</f>
        <v>2061</v>
      </c>
      <c r="D68" s="54">
        <f>IF(F67+SUM(E$17:E67)=D$10,F67,D$10-SUM(E$17:E67))</f>
        <v>0</v>
      </c>
      <c r="E68" s="377">
        <f>IF(+I14&lt;F67,I14,D68)</f>
        <v>0</v>
      </c>
      <c r="F68" s="54">
        <f t="shared" si="30"/>
        <v>0</v>
      </c>
      <c r="G68" s="388">
        <f t="shared" si="28"/>
        <v>0</v>
      </c>
      <c r="H68" s="359">
        <f t="shared" si="29"/>
        <v>0</v>
      </c>
      <c r="I68" s="51">
        <f t="shared" si="31"/>
        <v>0</v>
      </c>
      <c r="J68" s="51"/>
      <c r="K68" s="112"/>
      <c r="L68" s="53">
        <f t="shared" si="32"/>
        <v>0</v>
      </c>
      <c r="M68" s="112"/>
      <c r="N68" s="53">
        <f t="shared" si="33"/>
        <v>0</v>
      </c>
      <c r="O68" s="53">
        <f t="shared" si="34"/>
        <v>0</v>
      </c>
      <c r="P68" s="1"/>
      <c r="R68" s="1"/>
      <c r="S68" s="1"/>
      <c r="T68" s="1"/>
      <c r="U68" s="1"/>
    </row>
    <row r="69" spans="1:21">
      <c r="B69" t="str">
        <f t="shared" si="6"/>
        <v/>
      </c>
      <c r="C69" s="49">
        <f>IF(D11="","-",+C68+1)</f>
        <v>2062</v>
      </c>
      <c r="D69" s="54">
        <f>IF(F68+SUM(E$17:E68)=D$10,F68,D$10-SUM(E$17:E68))</f>
        <v>0</v>
      </c>
      <c r="E69" s="377">
        <f>IF(+I14&lt;F68,I14,D69)</f>
        <v>0</v>
      </c>
      <c r="F69" s="54">
        <f t="shared" si="30"/>
        <v>0</v>
      </c>
      <c r="G69" s="388">
        <f t="shared" si="28"/>
        <v>0</v>
      </c>
      <c r="H69" s="359">
        <f t="shared" si="29"/>
        <v>0</v>
      </c>
      <c r="I69" s="51">
        <f t="shared" si="31"/>
        <v>0</v>
      </c>
      <c r="J69" s="51"/>
      <c r="K69" s="112"/>
      <c r="L69" s="53">
        <f t="shared" si="32"/>
        <v>0</v>
      </c>
      <c r="M69" s="112"/>
      <c r="N69" s="53">
        <f t="shared" si="33"/>
        <v>0</v>
      </c>
      <c r="O69" s="53">
        <f t="shared" si="34"/>
        <v>0</v>
      </c>
      <c r="P69" s="1"/>
      <c r="R69" s="1"/>
      <c r="S69" s="1"/>
      <c r="T69" s="1"/>
      <c r="U69" s="1"/>
    </row>
    <row r="70" spans="1:21">
      <c r="B70" t="str">
        <f t="shared" si="6"/>
        <v/>
      </c>
      <c r="C70" s="49">
        <f>IF(D11="","-",+C69+1)</f>
        <v>2063</v>
      </c>
      <c r="D70" s="54">
        <f>IF(F69+SUM(E$17:E69)=D$10,F69,D$10-SUM(E$17:E69))</f>
        <v>0</v>
      </c>
      <c r="E70" s="377">
        <f>IF(+I14&lt;F69,I14,D70)</f>
        <v>0</v>
      </c>
      <c r="F70" s="54">
        <f t="shared" si="30"/>
        <v>0</v>
      </c>
      <c r="G70" s="388">
        <f t="shared" si="28"/>
        <v>0</v>
      </c>
      <c r="H70" s="359">
        <f t="shared" si="29"/>
        <v>0</v>
      </c>
      <c r="I70" s="51">
        <f t="shared" si="31"/>
        <v>0</v>
      </c>
      <c r="J70" s="51"/>
      <c r="K70" s="112"/>
      <c r="L70" s="53">
        <f t="shared" si="32"/>
        <v>0</v>
      </c>
      <c r="M70" s="112"/>
      <c r="N70" s="53">
        <f t="shared" si="33"/>
        <v>0</v>
      </c>
      <c r="O70" s="53">
        <f t="shared" si="34"/>
        <v>0</v>
      </c>
      <c r="P70" s="1"/>
      <c r="R70" s="1"/>
      <c r="S70" s="1"/>
      <c r="T70" s="1"/>
      <c r="U70" s="1"/>
    </row>
    <row r="71" spans="1:21">
      <c r="B71" t="str">
        <f t="shared" si="6"/>
        <v/>
      </c>
      <c r="C71" s="49">
        <f>IF(D11="","-",+C70+1)</f>
        <v>2064</v>
      </c>
      <c r="D71" s="54">
        <f>IF(F70+SUM(E$17:E70)=D$10,F70,D$10-SUM(E$17:E70))</f>
        <v>0</v>
      </c>
      <c r="E71" s="377">
        <f>IF(+I14&lt;F70,I14,D71)</f>
        <v>0</v>
      </c>
      <c r="F71" s="54">
        <f t="shared" si="30"/>
        <v>0</v>
      </c>
      <c r="G71" s="388">
        <f t="shared" si="28"/>
        <v>0</v>
      </c>
      <c r="H71" s="359">
        <f t="shared" si="29"/>
        <v>0</v>
      </c>
      <c r="I71" s="51">
        <f t="shared" si="31"/>
        <v>0</v>
      </c>
      <c r="J71" s="51"/>
      <c r="K71" s="112"/>
      <c r="L71" s="53">
        <f t="shared" si="32"/>
        <v>0</v>
      </c>
      <c r="M71" s="112"/>
      <c r="N71" s="53">
        <f t="shared" si="33"/>
        <v>0</v>
      </c>
      <c r="O71" s="53">
        <f t="shared" si="34"/>
        <v>0</v>
      </c>
      <c r="P71" s="1"/>
      <c r="R71" s="1"/>
      <c r="S71" s="1"/>
      <c r="T71" s="1"/>
      <c r="U71" s="1"/>
    </row>
    <row r="72" spans="1:21">
      <c r="B72" t="str">
        <f t="shared" si="6"/>
        <v/>
      </c>
      <c r="C72" s="49">
        <f>IF(D11="","-",+C71+1)</f>
        <v>2065</v>
      </c>
      <c r="D72" s="54">
        <f>IF(F71+SUM(E$17:E71)=D$10,F71,D$10-SUM(E$17:E71))</f>
        <v>0</v>
      </c>
      <c r="E72" s="377">
        <f>IF(+I14&lt;F71,I14,D72)</f>
        <v>0</v>
      </c>
      <c r="F72" s="54">
        <f t="shared" si="30"/>
        <v>0</v>
      </c>
      <c r="G72" s="388">
        <f t="shared" si="28"/>
        <v>0</v>
      </c>
      <c r="H72" s="359">
        <f t="shared" si="29"/>
        <v>0</v>
      </c>
      <c r="I72" s="51">
        <f t="shared" si="31"/>
        <v>0</v>
      </c>
      <c r="J72" s="51"/>
      <c r="K72" s="112"/>
      <c r="L72" s="53">
        <f t="shared" si="32"/>
        <v>0</v>
      </c>
      <c r="M72" s="112"/>
      <c r="N72" s="53">
        <f t="shared" si="33"/>
        <v>0</v>
      </c>
      <c r="O72" s="53">
        <f t="shared" si="34"/>
        <v>0</v>
      </c>
      <c r="P72" s="1"/>
      <c r="R72" s="1"/>
      <c r="S72" s="1"/>
      <c r="T72" s="1"/>
      <c r="U72" s="1"/>
    </row>
    <row r="73" spans="1:21" ht="13.5" thickBot="1">
      <c r="B73" t="str">
        <f t="shared" si="6"/>
        <v/>
      </c>
      <c r="C73" s="58">
        <f>IF(D11="","-",+C72+1)</f>
        <v>2066</v>
      </c>
      <c r="D73" s="59">
        <f>IF(F72+SUM(E$17:E72)=D$10,F72,D$10-SUM(E$17:E72))</f>
        <v>0</v>
      </c>
      <c r="E73" s="389">
        <f>IF(+I14&lt;F72,I14,D73)</f>
        <v>0</v>
      </c>
      <c r="F73" s="59">
        <f t="shared" si="30"/>
        <v>0</v>
      </c>
      <c r="G73" s="390">
        <f t="shared" si="28"/>
        <v>0</v>
      </c>
      <c r="H73" s="357">
        <f t="shared" si="29"/>
        <v>0</v>
      </c>
      <c r="I73" s="62">
        <f t="shared" si="31"/>
        <v>0</v>
      </c>
      <c r="J73" s="51"/>
      <c r="K73" s="113"/>
      <c r="L73" s="63">
        <f t="shared" si="32"/>
        <v>0</v>
      </c>
      <c r="M73" s="113"/>
      <c r="N73" s="63">
        <f t="shared" si="33"/>
        <v>0</v>
      </c>
      <c r="O73" s="63">
        <f t="shared" si="34"/>
        <v>0</v>
      </c>
      <c r="P73" s="1"/>
      <c r="R73" s="1"/>
      <c r="S73" s="1"/>
      <c r="T73" s="1"/>
      <c r="U73" s="1"/>
    </row>
    <row r="74" spans="1:21">
      <c r="C74" s="11" t="s">
        <v>75</v>
      </c>
      <c r="D74" s="242"/>
      <c r="E74" s="242">
        <f>SUM(E17:E73)</f>
        <v>723818.00000000047</v>
      </c>
      <c r="F74" s="242"/>
      <c r="G74" s="242">
        <f>SUM(G17:G73)</f>
        <v>2322815.9305171426</v>
      </c>
      <c r="H74" s="242">
        <f>SUM(H17:H73)</f>
        <v>2322815.9305171426</v>
      </c>
      <c r="I74" s="242">
        <f>SUM(I17:I73)</f>
        <v>0</v>
      </c>
      <c r="J74" s="242"/>
      <c r="K74" s="242"/>
      <c r="L74" s="242"/>
      <c r="M74" s="242"/>
      <c r="N74" s="242"/>
      <c r="O74" s="1"/>
      <c r="P74" s="1"/>
      <c r="R74" s="1"/>
      <c r="S74" s="1"/>
      <c r="T74" s="1"/>
      <c r="U74" s="1"/>
    </row>
    <row r="75" spans="1:21">
      <c r="D75" s="2"/>
      <c r="E75" s="1"/>
      <c r="F75" s="1"/>
      <c r="G75" s="1"/>
      <c r="H75" s="260"/>
      <c r="I75" s="260"/>
      <c r="J75" s="242"/>
      <c r="K75" s="260"/>
      <c r="L75" s="260"/>
      <c r="M75" s="260"/>
      <c r="N75" s="260"/>
      <c r="O75" s="1"/>
      <c r="P75" s="1"/>
      <c r="R75" s="1"/>
      <c r="S75" s="1"/>
      <c r="T75" s="1"/>
      <c r="U75" s="1"/>
    </row>
    <row r="76" spans="1:21">
      <c r="C76" s="29" t="s">
        <v>95</v>
      </c>
      <c r="D76" s="2"/>
      <c r="E76" s="1"/>
      <c r="F76" s="1"/>
      <c r="G76" s="1"/>
      <c r="H76" s="260"/>
      <c r="I76" s="260"/>
      <c r="J76" s="242"/>
      <c r="K76" s="260"/>
      <c r="L76" s="260"/>
      <c r="M76" s="260"/>
      <c r="N76" s="260"/>
      <c r="O76" s="1"/>
      <c r="P76" s="1"/>
      <c r="R76" s="1"/>
      <c r="S76" s="1"/>
      <c r="T76" s="1"/>
      <c r="U76" s="1"/>
    </row>
    <row r="77" spans="1:21">
      <c r="C77" s="25" t="s">
        <v>76</v>
      </c>
      <c r="D77" s="2"/>
      <c r="E77" s="1"/>
      <c r="F77" s="1"/>
      <c r="G77" s="1"/>
      <c r="H77" s="260"/>
      <c r="I77" s="260"/>
      <c r="J77" s="242"/>
      <c r="K77" s="260"/>
      <c r="L77" s="260"/>
      <c r="M77" s="260"/>
      <c r="N77" s="260"/>
      <c r="O77" s="1"/>
      <c r="P77" s="1"/>
      <c r="R77" s="1"/>
      <c r="S77" s="1"/>
      <c r="T77" s="1"/>
      <c r="U77" s="1"/>
    </row>
    <row r="78" spans="1:21" ht="18">
      <c r="C78" s="25" t="s">
        <v>77</v>
      </c>
      <c r="D78" s="11"/>
      <c r="E78" s="11"/>
      <c r="F78" s="11"/>
      <c r="G78" s="242"/>
      <c r="H78" s="242"/>
      <c r="I78" s="64"/>
      <c r="J78" s="64"/>
      <c r="K78" s="64"/>
      <c r="L78" s="64"/>
      <c r="M78" s="64"/>
      <c r="N78" s="64"/>
      <c r="O78" s="12"/>
      <c r="P78" s="1"/>
      <c r="R78" s="1"/>
      <c r="S78" s="1"/>
      <c r="T78" s="1"/>
      <c r="U78" s="1"/>
    </row>
    <row r="79" spans="1:21">
      <c r="C79" s="25"/>
      <c r="D79" s="11"/>
      <c r="E79" s="11"/>
      <c r="F79" s="11"/>
      <c r="G79" s="242"/>
      <c r="H79" s="242"/>
      <c r="I79" s="64"/>
      <c r="J79" s="64"/>
      <c r="K79" s="64"/>
      <c r="L79" s="64"/>
      <c r="M79" s="64"/>
      <c r="N79" s="64"/>
      <c r="O79" s="1"/>
      <c r="P79" s="1"/>
      <c r="R79" s="1"/>
      <c r="S79" s="1"/>
      <c r="T79" s="1"/>
      <c r="U79" s="1"/>
    </row>
    <row r="80" spans="1:21" ht="15">
      <c r="A80" s="391"/>
      <c r="B80" s="1"/>
      <c r="C80" s="1"/>
      <c r="D80" s="2"/>
      <c r="E80" s="1"/>
      <c r="F80" s="11"/>
      <c r="G80" s="1"/>
      <c r="H80" s="260"/>
      <c r="I80" s="1"/>
      <c r="J80" s="1"/>
      <c r="K80" s="1"/>
      <c r="L80" s="1"/>
      <c r="M80" s="1"/>
      <c r="N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92"/>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1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77840.918733315004</v>
      </c>
      <c r="N88" s="396">
        <f>IF(J93&lt;D11,0,VLOOKUP(J93,C17:O73,11))</f>
        <v>77840.918733315004</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68208.649969352758</v>
      </c>
      <c r="N89" s="399">
        <f>IF(J93&lt;D11,0,VLOOKUP(J93,C100:P155,7))</f>
        <v>68208.649969352758</v>
      </c>
      <c r="O89" s="70">
        <f>+N89-M89</f>
        <v>0</v>
      </c>
      <c r="P89" s="1"/>
      <c r="Q89" s="1"/>
      <c r="R89" s="1"/>
      <c r="S89" s="1"/>
      <c r="T89" s="1"/>
      <c r="U89" s="1"/>
    </row>
    <row r="90" spans="1:21" ht="13.5" thickBot="1">
      <c r="C90" s="25" t="s">
        <v>82</v>
      </c>
      <c r="D90" s="96" t="str">
        <f>+D7</f>
        <v>Snyder 138 kV Terminal Addition</v>
      </c>
      <c r="E90" s="1"/>
      <c r="F90" s="1"/>
      <c r="G90" s="1"/>
      <c r="H90" s="1"/>
      <c r="I90" s="260"/>
      <c r="J90" s="260"/>
      <c r="K90" s="400"/>
      <c r="L90" s="109" t="s">
        <v>135</v>
      </c>
      <c r="M90" s="401">
        <f>+M89-M88</f>
        <v>-9632.2687639622454</v>
      </c>
      <c r="N90" s="401">
        <f>+N89-N88</f>
        <v>-9632.2687639622454</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tr">
        <f>+D9</f>
        <v>TP2009013</v>
      </c>
      <c r="E92" s="75" t="str">
        <f>E9</f>
        <v xml:space="preserve">SPP Project ID = </v>
      </c>
      <c r="F92" s="527">
        <f>F9</f>
        <v>480</v>
      </c>
      <c r="G92" s="75"/>
      <c r="H92" s="75"/>
      <c r="I92" s="75"/>
      <c r="J92" s="403"/>
      <c r="Q92" s="1"/>
      <c r="R92" s="1"/>
      <c r="S92" s="1"/>
      <c r="T92" s="1"/>
      <c r="U92" s="1"/>
    </row>
    <row r="93" spans="1:21">
      <c r="C93" s="34" t="s">
        <v>49</v>
      </c>
      <c r="D93" s="358">
        <v>723818</v>
      </c>
      <c r="E93" s="1" t="s">
        <v>84</v>
      </c>
      <c r="H93" s="2"/>
      <c r="I93" s="2"/>
      <c r="J93" s="36">
        <f>+'OKT.WS.G.BPU.ATRR.True-up'!M16</f>
        <v>2025</v>
      </c>
      <c r="K93" s="33"/>
      <c r="L93" s="242" t="s">
        <v>85</v>
      </c>
      <c r="P93" s="1"/>
      <c r="Q93" s="1"/>
      <c r="R93" s="1"/>
      <c r="S93" s="1"/>
      <c r="T93" s="1"/>
      <c r="U93" s="1"/>
    </row>
    <row r="94" spans="1:21">
      <c r="C94" s="34" t="s">
        <v>52</v>
      </c>
      <c r="D94" s="85">
        <f>D11</f>
        <v>2010</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85">
        <f>D12</f>
        <v>12</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f>+D14</f>
        <v>0</v>
      </c>
      <c r="E97" s="71" t="s">
        <v>62</v>
      </c>
      <c r="F97" s="76"/>
      <c r="G97" s="76"/>
      <c r="H97" s="77"/>
      <c r="I97" s="77"/>
      <c r="J97" s="357">
        <f>IF(D93=0,0,D93/D96)</f>
        <v>22619.3125</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0" t="s">
        <v>177</v>
      </c>
      <c r="M98" s="365" t="s">
        <v>89</v>
      </c>
      <c r="N98" s="360" t="s">
        <v>177</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B100" t="str">
        <f>IF(D100=F99,"","IU")</f>
        <v>IU</v>
      </c>
      <c r="C100" s="49">
        <f>IF(D94= "","-",D94)</f>
        <v>2010</v>
      </c>
      <c r="D100" s="371">
        <v>0</v>
      </c>
      <c r="E100" s="373">
        <v>0</v>
      </c>
      <c r="F100" s="375">
        <v>634790</v>
      </c>
      <c r="G100" s="406">
        <v>317395</v>
      </c>
      <c r="H100" s="406">
        <v>107896.39563165967</v>
      </c>
      <c r="I100" s="406">
        <v>107896.39563165967</v>
      </c>
      <c r="J100" s="53">
        <f t="shared" ref="J100:J131" si="35">+I100-H100</f>
        <v>0</v>
      </c>
      <c r="K100" s="53"/>
      <c r="L100" s="376">
        <f t="shared" ref="L100:L105" si="36">H100</f>
        <v>107896.39563165967</v>
      </c>
      <c r="M100" s="53">
        <f>IF(L100&lt;&gt;0,+H100-L100,0)</f>
        <v>0</v>
      </c>
      <c r="N100" s="376">
        <f t="shared" ref="N100:N105" si="37">I100</f>
        <v>107896.39563165967</v>
      </c>
      <c r="O100" s="52">
        <f t="shared" ref="O100:O131" si="38">IF(N100&lt;&gt;0,+I100-N100,0)</f>
        <v>0</v>
      </c>
      <c r="P100" s="52">
        <f t="shared" ref="P100:P131" si="39">+O100-M100</f>
        <v>0</v>
      </c>
      <c r="Q100" s="1"/>
      <c r="R100" s="1"/>
      <c r="S100" s="1"/>
      <c r="T100" s="1"/>
      <c r="U100" s="1"/>
    </row>
    <row r="101" spans="1:21">
      <c r="B101" t="str">
        <f t="shared" ref="B101:B155" si="40">IF(D101=F100,"","IU")</f>
        <v/>
      </c>
      <c r="C101" s="49">
        <f>IF(D94="","-",+C100+1)</f>
        <v>2011</v>
      </c>
      <c r="D101" s="371">
        <v>634790</v>
      </c>
      <c r="E101" s="373">
        <v>12180.958103448274</v>
      </c>
      <c r="F101" s="375">
        <v>622609.04189655173</v>
      </c>
      <c r="G101" s="375">
        <v>628699.52094827592</v>
      </c>
      <c r="H101" s="373">
        <v>58926.291922257748</v>
      </c>
      <c r="I101" s="374">
        <v>58926.291922257748</v>
      </c>
      <c r="J101" s="53">
        <v>0</v>
      </c>
      <c r="K101" s="53"/>
      <c r="L101" s="376">
        <f t="shared" si="36"/>
        <v>58926.291922257748</v>
      </c>
      <c r="M101" s="53">
        <f t="shared" ref="M101:M131" si="41">IF(L101&lt;&gt;0,+H101-L101,0)</f>
        <v>0</v>
      </c>
      <c r="N101" s="376">
        <f t="shared" si="37"/>
        <v>58926.291922257748</v>
      </c>
      <c r="O101" s="53">
        <f t="shared" si="38"/>
        <v>0</v>
      </c>
      <c r="P101" s="53">
        <f t="shared" si="39"/>
        <v>0</v>
      </c>
      <c r="Q101" s="1"/>
      <c r="R101" s="1"/>
      <c r="S101" s="1"/>
      <c r="T101" s="1"/>
      <c r="U101" s="1"/>
    </row>
    <row r="102" spans="1:21">
      <c r="B102" t="str">
        <f t="shared" si="40"/>
        <v>IU</v>
      </c>
      <c r="C102" s="49">
        <f>IF(D94="","-",+C101+1)</f>
        <v>2012</v>
      </c>
      <c r="D102" s="371">
        <v>711637.04189655173</v>
      </c>
      <c r="E102" s="373">
        <v>12479.620689655172</v>
      </c>
      <c r="F102" s="375">
        <v>699157.42120689654</v>
      </c>
      <c r="G102" s="375">
        <v>705397.23155172414</v>
      </c>
      <c r="H102" s="373">
        <v>83971.238209738236</v>
      </c>
      <c r="I102" s="374">
        <v>83971.238209738236</v>
      </c>
      <c r="J102" s="53">
        <v>0</v>
      </c>
      <c r="K102" s="53"/>
      <c r="L102" s="376">
        <f t="shared" si="36"/>
        <v>83971.238209738236</v>
      </c>
      <c r="M102" s="53">
        <f t="shared" ref="M102:M107" si="42">IF(L102&lt;&gt;0,+H102-L102,0)</f>
        <v>0</v>
      </c>
      <c r="N102" s="376">
        <f t="shared" si="37"/>
        <v>83971.238209738236</v>
      </c>
      <c r="O102" s="53">
        <f>IF(N102&lt;&gt;0,+I102-N102,0)</f>
        <v>0</v>
      </c>
      <c r="P102" s="53">
        <f>+O102-M102</f>
        <v>0</v>
      </c>
      <c r="Q102" s="1"/>
      <c r="R102" s="1"/>
      <c r="S102" s="1"/>
      <c r="T102" s="1"/>
      <c r="U102" s="1"/>
    </row>
    <row r="103" spans="1:21">
      <c r="B103" t="str">
        <f t="shared" si="40"/>
        <v/>
      </c>
      <c r="C103" s="49">
        <f>IF(D94="","-",+C102+1)</f>
        <v>2013</v>
      </c>
      <c r="D103" s="371">
        <v>699157.42120689654</v>
      </c>
      <c r="E103" s="373">
        <v>12479.620689655172</v>
      </c>
      <c r="F103" s="375">
        <v>686677.80051724135</v>
      </c>
      <c r="G103" s="375">
        <v>692917.61086206895</v>
      </c>
      <c r="H103" s="373">
        <v>91236.605288625666</v>
      </c>
      <c r="I103" s="374">
        <v>91236.605288625666</v>
      </c>
      <c r="J103" s="53">
        <v>0</v>
      </c>
      <c r="K103" s="53"/>
      <c r="L103" s="376">
        <f t="shared" si="36"/>
        <v>91236.605288625666</v>
      </c>
      <c r="M103" s="53">
        <f t="shared" si="42"/>
        <v>0</v>
      </c>
      <c r="N103" s="376">
        <f t="shared" si="37"/>
        <v>91236.605288625666</v>
      </c>
      <c r="O103" s="53">
        <f>IF(N103&lt;&gt;0,+I103-N103,0)</f>
        <v>0</v>
      </c>
      <c r="P103" s="53">
        <f>+O103-M103</f>
        <v>0</v>
      </c>
      <c r="Q103" s="1"/>
      <c r="R103" s="1"/>
      <c r="S103" s="1"/>
      <c r="T103" s="1"/>
      <c r="U103" s="1"/>
    </row>
    <row r="104" spans="1:21">
      <c r="B104" t="str">
        <f t="shared" si="40"/>
        <v/>
      </c>
      <c r="C104" s="49">
        <f>IF(D94="","-",+C103+1)</f>
        <v>2014</v>
      </c>
      <c r="D104" s="371">
        <v>686677.80051724135</v>
      </c>
      <c r="E104" s="373">
        <v>12479.620689655172</v>
      </c>
      <c r="F104" s="375">
        <v>674198.17982758617</v>
      </c>
      <c r="G104" s="375">
        <v>680437.99017241376</v>
      </c>
      <c r="H104" s="373">
        <v>85656.254524456934</v>
      </c>
      <c r="I104" s="374">
        <v>85656.254524456934</v>
      </c>
      <c r="J104" s="53">
        <v>0</v>
      </c>
      <c r="K104" s="53"/>
      <c r="L104" s="376">
        <f t="shared" si="36"/>
        <v>85656.254524456934</v>
      </c>
      <c r="M104" s="53">
        <f t="shared" si="42"/>
        <v>0</v>
      </c>
      <c r="N104" s="376">
        <f t="shared" si="37"/>
        <v>85656.254524456934</v>
      </c>
      <c r="O104" s="53">
        <f>IF(N104&lt;&gt;0,+I104-N104,0)</f>
        <v>0</v>
      </c>
      <c r="P104" s="53">
        <f>+O104-M104</f>
        <v>0</v>
      </c>
      <c r="Q104" s="1"/>
      <c r="R104" s="1"/>
      <c r="S104" s="1"/>
      <c r="T104" s="1"/>
      <c r="U104" s="1"/>
    </row>
    <row r="105" spans="1:21">
      <c r="B105" t="str">
        <f t="shared" si="40"/>
        <v/>
      </c>
      <c r="C105" s="49">
        <f>IF(D94="","-",+C104+1)</f>
        <v>2015</v>
      </c>
      <c r="D105" s="371">
        <v>674198.17982758617</v>
      </c>
      <c r="E105" s="373">
        <v>15079.541666666666</v>
      </c>
      <c r="F105" s="375">
        <v>659118.63816091954</v>
      </c>
      <c r="G105" s="375">
        <v>666658.40899425279</v>
      </c>
      <c r="H105" s="373">
        <v>89298.24140660846</v>
      </c>
      <c r="I105" s="374">
        <v>89298.24140660846</v>
      </c>
      <c r="J105" s="53">
        <f t="shared" si="35"/>
        <v>0</v>
      </c>
      <c r="K105" s="53"/>
      <c r="L105" s="376">
        <f t="shared" si="36"/>
        <v>89298.24140660846</v>
      </c>
      <c r="M105" s="53">
        <f t="shared" si="42"/>
        <v>0</v>
      </c>
      <c r="N105" s="376">
        <f t="shared" si="37"/>
        <v>89298.24140660846</v>
      </c>
      <c r="O105" s="53">
        <f t="shared" si="38"/>
        <v>0</v>
      </c>
      <c r="P105" s="53">
        <f t="shared" si="39"/>
        <v>0</v>
      </c>
      <c r="Q105" s="1"/>
      <c r="R105" s="1"/>
      <c r="S105" s="1"/>
      <c r="T105" s="1"/>
      <c r="U105" s="1"/>
    </row>
    <row r="106" spans="1:21">
      <c r="B106" t="str">
        <f t="shared" si="40"/>
        <v/>
      </c>
      <c r="C106" s="49">
        <f>IF(D94="","-",+C105+1)</f>
        <v>2016</v>
      </c>
      <c r="D106" s="371">
        <v>659118.63816091954</v>
      </c>
      <c r="E106" s="373">
        <v>14192.509803921568</v>
      </c>
      <c r="F106" s="375">
        <v>644926.12835699797</v>
      </c>
      <c r="G106" s="375">
        <v>652022.38325895881</v>
      </c>
      <c r="H106" s="373">
        <v>84851.823004071382</v>
      </c>
      <c r="I106" s="374">
        <v>84851.823004071382</v>
      </c>
      <c r="J106" s="53">
        <f t="shared" si="35"/>
        <v>0</v>
      </c>
      <c r="K106" s="53"/>
      <c r="L106" s="376">
        <f t="shared" ref="L106:L111" si="43">H106</f>
        <v>84851.823004071382</v>
      </c>
      <c r="M106" s="53">
        <f t="shared" si="42"/>
        <v>0</v>
      </c>
      <c r="N106" s="376">
        <f t="shared" ref="N106:N111" si="44">I106</f>
        <v>84851.823004071382</v>
      </c>
      <c r="O106" s="53">
        <f>IF(N106&lt;&gt;0,+I106-N106,0)</f>
        <v>0</v>
      </c>
      <c r="P106" s="53">
        <f>+O106-M106</f>
        <v>0</v>
      </c>
      <c r="Q106" s="1"/>
      <c r="R106" s="1"/>
      <c r="S106" s="1"/>
      <c r="T106" s="1"/>
      <c r="U106" s="1"/>
    </row>
    <row r="107" spans="1:21">
      <c r="B107" t="str">
        <f t="shared" si="40"/>
        <v/>
      </c>
      <c r="C107" s="49">
        <f>IF(D94="","-",+C106+1)</f>
        <v>2017</v>
      </c>
      <c r="D107" s="371">
        <v>644926.12835699797</v>
      </c>
      <c r="E107" s="373">
        <v>18095.45</v>
      </c>
      <c r="F107" s="375">
        <v>626830.67835699802</v>
      </c>
      <c r="G107" s="375">
        <v>635878.40335699799</v>
      </c>
      <c r="H107" s="373">
        <v>92706.791991345061</v>
      </c>
      <c r="I107" s="374">
        <v>92706.791991345061</v>
      </c>
      <c r="J107" s="53">
        <f t="shared" si="35"/>
        <v>0</v>
      </c>
      <c r="K107" s="53"/>
      <c r="L107" s="376">
        <f t="shared" si="43"/>
        <v>92706.791991345061</v>
      </c>
      <c r="M107" s="53">
        <f t="shared" si="42"/>
        <v>0</v>
      </c>
      <c r="N107" s="376">
        <f t="shared" si="44"/>
        <v>92706.791991345061</v>
      </c>
      <c r="O107" s="53">
        <f>IF(N107&lt;&gt;0,+I107-N107,0)</f>
        <v>0</v>
      </c>
      <c r="P107" s="53">
        <f>+O107-M107</f>
        <v>0</v>
      </c>
      <c r="Q107" s="1"/>
      <c r="R107" s="1"/>
      <c r="S107" s="1"/>
      <c r="T107" s="1"/>
      <c r="U107" s="1"/>
    </row>
    <row r="108" spans="1:21">
      <c r="B108" t="str">
        <f t="shared" si="40"/>
        <v/>
      </c>
      <c r="C108" s="49">
        <f>IF(D94="","-",+C107+1)</f>
        <v>2018</v>
      </c>
      <c r="D108" s="371">
        <v>626830.67835699802</v>
      </c>
      <c r="E108" s="373">
        <v>20106.055555555555</v>
      </c>
      <c r="F108" s="375">
        <v>606724.62280144251</v>
      </c>
      <c r="G108" s="375">
        <v>616777.65057922027</v>
      </c>
      <c r="H108" s="373">
        <v>85214.614900276356</v>
      </c>
      <c r="I108" s="374">
        <v>85214.614900276356</v>
      </c>
      <c r="J108" s="53">
        <f t="shared" si="35"/>
        <v>0</v>
      </c>
      <c r="K108" s="53"/>
      <c r="L108" s="376">
        <f t="shared" si="43"/>
        <v>85214.614900276356</v>
      </c>
      <c r="M108" s="53">
        <f t="shared" ref="M108" si="45">IF(L108&lt;&gt;0,+H108-L108,0)</f>
        <v>0</v>
      </c>
      <c r="N108" s="376">
        <f t="shared" si="44"/>
        <v>85214.614900276356</v>
      </c>
      <c r="O108" s="53">
        <f>IF(N108&lt;&gt;0,+I108-N108,0)</f>
        <v>0</v>
      </c>
      <c r="P108" s="53">
        <f>+O108-M108</f>
        <v>0</v>
      </c>
      <c r="Q108" s="1"/>
      <c r="R108" s="1"/>
      <c r="S108" s="1"/>
      <c r="T108" s="1"/>
      <c r="U108" s="1"/>
    </row>
    <row r="109" spans="1:21">
      <c r="B109" t="str">
        <f t="shared" si="40"/>
        <v/>
      </c>
      <c r="C109" s="49">
        <f>IF(D94="","-",+C108+1)</f>
        <v>2019</v>
      </c>
      <c r="D109" s="371">
        <v>606724.62280144251</v>
      </c>
      <c r="E109" s="373">
        <v>20106.055555555555</v>
      </c>
      <c r="F109" s="375">
        <v>586618.56724588701</v>
      </c>
      <c r="G109" s="375">
        <v>596671.59502366476</v>
      </c>
      <c r="H109" s="373">
        <v>83092.170434109707</v>
      </c>
      <c r="I109" s="374">
        <v>83092.170434109707</v>
      </c>
      <c r="J109" s="53">
        <f t="shared" si="35"/>
        <v>0</v>
      </c>
      <c r="K109" s="53"/>
      <c r="L109" s="376">
        <f t="shared" si="43"/>
        <v>83092.170434109707</v>
      </c>
      <c r="M109" s="53">
        <f t="shared" ref="M109" si="46">IF(L109&lt;&gt;0,+H109-L109,0)</f>
        <v>0</v>
      </c>
      <c r="N109" s="376">
        <f t="shared" si="44"/>
        <v>83092.170434109707</v>
      </c>
      <c r="O109" s="53">
        <f t="shared" si="38"/>
        <v>0</v>
      </c>
      <c r="P109" s="53">
        <f t="shared" si="39"/>
        <v>0</v>
      </c>
      <c r="Q109" s="1"/>
      <c r="R109" s="1"/>
      <c r="S109" s="1"/>
      <c r="T109" s="1"/>
      <c r="U109" s="1"/>
    </row>
    <row r="110" spans="1:21">
      <c r="B110" t="str">
        <f t="shared" si="40"/>
        <v/>
      </c>
      <c r="C110" s="49">
        <f>IF(D94="","-",+C109+1)</f>
        <v>2020</v>
      </c>
      <c r="D110" s="371">
        <v>586618.56724588701</v>
      </c>
      <c r="E110" s="373">
        <v>25850.642857142859</v>
      </c>
      <c r="F110" s="375">
        <v>560767.92438874417</v>
      </c>
      <c r="G110" s="375">
        <v>573693.24581731553</v>
      </c>
      <c r="H110" s="373">
        <v>86899.348480192144</v>
      </c>
      <c r="I110" s="374">
        <v>86899.348480192144</v>
      </c>
      <c r="J110" s="53">
        <f t="shared" si="35"/>
        <v>0</v>
      </c>
      <c r="K110" s="53"/>
      <c r="L110" s="376">
        <f t="shared" si="43"/>
        <v>86899.348480192144</v>
      </c>
      <c r="M110" s="53">
        <f t="shared" ref="M110" si="47">IF(L110&lt;&gt;0,+H110-L110,0)</f>
        <v>0</v>
      </c>
      <c r="N110" s="376">
        <f t="shared" si="44"/>
        <v>86899.348480192144</v>
      </c>
      <c r="O110" s="53">
        <f t="shared" si="38"/>
        <v>0</v>
      </c>
      <c r="P110" s="53">
        <f t="shared" si="39"/>
        <v>0</v>
      </c>
      <c r="Q110" s="1"/>
      <c r="R110" s="1"/>
      <c r="S110" s="1"/>
      <c r="T110" s="1"/>
      <c r="U110" s="1"/>
    </row>
    <row r="111" spans="1:21">
      <c r="B111" t="str">
        <f t="shared" si="40"/>
        <v/>
      </c>
      <c r="C111" s="49">
        <f>IF(D94="","-",+C110+1)</f>
        <v>2021</v>
      </c>
      <c r="D111" s="371">
        <v>560767.92438874417</v>
      </c>
      <c r="E111" s="373">
        <v>28952.720000000001</v>
      </c>
      <c r="F111" s="375">
        <v>531815.2043887442</v>
      </c>
      <c r="G111" s="375">
        <v>546291.56438874418</v>
      </c>
      <c r="H111" s="373">
        <v>93394.372694725258</v>
      </c>
      <c r="I111" s="374">
        <v>93394.372694725258</v>
      </c>
      <c r="J111" s="53">
        <f t="shared" si="35"/>
        <v>0</v>
      </c>
      <c r="K111" s="53"/>
      <c r="L111" s="376">
        <f t="shared" si="43"/>
        <v>93394.372694725258</v>
      </c>
      <c r="M111" s="53">
        <f t="shared" ref="M111" si="48">IF(L111&lt;&gt;0,+H111-L111,0)</f>
        <v>0</v>
      </c>
      <c r="N111" s="376">
        <f t="shared" si="44"/>
        <v>93394.372694725258</v>
      </c>
      <c r="O111" s="53">
        <f t="shared" si="38"/>
        <v>0</v>
      </c>
      <c r="P111" s="53">
        <f t="shared" si="39"/>
        <v>0</v>
      </c>
      <c r="Q111" s="1"/>
      <c r="R111" s="1"/>
      <c r="S111" s="1"/>
      <c r="T111" s="1"/>
      <c r="U111" s="1"/>
    </row>
    <row r="112" spans="1:21">
      <c r="B112" t="str">
        <f t="shared" si="40"/>
        <v/>
      </c>
      <c r="C112" s="49">
        <f>IF(D94="","-",+C111+1)</f>
        <v>2022</v>
      </c>
      <c r="D112" s="371">
        <v>531815.2043887442</v>
      </c>
      <c r="E112" s="373">
        <v>34467.523809523809</v>
      </c>
      <c r="F112" s="375">
        <v>497347.68057922041</v>
      </c>
      <c r="G112" s="375">
        <v>514581.4424839823</v>
      </c>
      <c r="H112" s="373">
        <v>93626.902157801858</v>
      </c>
      <c r="I112" s="374">
        <v>93626.902157801858</v>
      </c>
      <c r="J112" s="53">
        <f t="shared" si="35"/>
        <v>0</v>
      </c>
      <c r="K112" s="53"/>
      <c r="L112" s="376">
        <f t="shared" ref="L112" si="49">H112</f>
        <v>93626.902157801858</v>
      </c>
      <c r="M112" s="53">
        <f t="shared" ref="M112" si="50">IF(L112&lt;&gt;0,+H112-L112,0)</f>
        <v>0</v>
      </c>
      <c r="N112" s="376">
        <f t="shared" ref="N112" si="51">I112</f>
        <v>93626.902157801858</v>
      </c>
      <c r="O112" s="53">
        <f t="shared" ref="O112" si="52">IF(N112&lt;&gt;0,+I112-N112,0)</f>
        <v>0</v>
      </c>
      <c r="P112" s="53">
        <f t="shared" ref="P112" si="53">+O112-M112</f>
        <v>0</v>
      </c>
      <c r="Q112" s="1"/>
      <c r="R112" s="1"/>
      <c r="S112" s="1"/>
      <c r="T112" s="1"/>
      <c r="U112" s="1"/>
    </row>
    <row r="113" spans="2:21">
      <c r="B113" t="str">
        <f t="shared" si="40"/>
        <v/>
      </c>
      <c r="C113" s="49">
        <f>IF(D94="","-",+C112+1)</f>
        <v>2023</v>
      </c>
      <c r="D113" s="371">
        <v>497347.68057922041</v>
      </c>
      <c r="E113" s="373">
        <v>38095.684210526313</v>
      </c>
      <c r="F113" s="375">
        <v>459251.99636869412</v>
      </c>
      <c r="G113" s="375">
        <v>478299.83847395726</v>
      </c>
      <c r="H113" s="373">
        <v>90533.685322118108</v>
      </c>
      <c r="I113" s="374">
        <v>90533.685322118108</v>
      </c>
      <c r="J113" s="53">
        <f t="shared" si="35"/>
        <v>0</v>
      </c>
      <c r="K113" s="53"/>
      <c r="L113" s="376">
        <f t="shared" ref="L113" si="54">H113</f>
        <v>90533.685322118108</v>
      </c>
      <c r="M113" s="53">
        <f t="shared" ref="M113" si="55">IF(L113&lt;&gt;0,+H113-L113,0)</f>
        <v>0</v>
      </c>
      <c r="N113" s="376">
        <f t="shared" ref="N113" si="56">I113</f>
        <v>90533.685322118108</v>
      </c>
      <c r="O113" s="53">
        <f t="shared" ref="O113" si="57">IF(N113&lt;&gt;0,+I113-N113,0)</f>
        <v>0</v>
      </c>
      <c r="P113" s="53">
        <f t="shared" ref="P113" si="58">+O113-M113</f>
        <v>0</v>
      </c>
      <c r="Q113" s="1"/>
      <c r="R113" s="1"/>
      <c r="S113" s="1"/>
      <c r="T113" s="1"/>
      <c r="U113" s="1"/>
    </row>
    <row r="114" spans="2:21">
      <c r="B114" t="str">
        <f t="shared" si="40"/>
        <v/>
      </c>
      <c r="C114" s="49">
        <f>IF(D94="","-",+C113+1)</f>
        <v>2024</v>
      </c>
      <c r="D114" s="371">
        <v>459251.99636869412</v>
      </c>
      <c r="E114" s="373">
        <v>42577.529411764706</v>
      </c>
      <c r="F114" s="375">
        <v>416674.46695692942</v>
      </c>
      <c r="G114" s="375">
        <v>437963.23166281177</v>
      </c>
      <c r="H114" s="373">
        <v>91071.098091088061</v>
      </c>
      <c r="I114" s="374">
        <v>91071.098091088061</v>
      </c>
      <c r="J114" s="53">
        <f t="shared" si="35"/>
        <v>0</v>
      </c>
      <c r="K114" s="53"/>
      <c r="L114" s="376">
        <f t="shared" ref="L114" si="59">H114</f>
        <v>91071.098091088061</v>
      </c>
      <c r="M114" s="53">
        <f t="shared" ref="M114" si="60">IF(L114&lt;&gt;0,+H114-L114,0)</f>
        <v>0</v>
      </c>
      <c r="N114" s="376">
        <f t="shared" ref="N114" si="61">I114</f>
        <v>91071.098091088061</v>
      </c>
      <c r="O114" s="53">
        <f t="shared" ref="O114" si="62">IF(N114&lt;&gt;0,+I114-N114,0)</f>
        <v>0</v>
      </c>
      <c r="P114" s="53">
        <f t="shared" ref="P114" si="63">+O114-M114</f>
        <v>0</v>
      </c>
      <c r="Q114" s="1"/>
      <c r="R114" s="1"/>
      <c r="S114" s="1"/>
      <c r="T114" s="1"/>
      <c r="U114" s="1"/>
    </row>
    <row r="115" spans="2:21">
      <c r="B115" t="str">
        <f t="shared" si="40"/>
        <v/>
      </c>
      <c r="C115" s="49">
        <f>IF(D94="","-",+C114+1)</f>
        <v>2025</v>
      </c>
      <c r="D115" s="11">
        <f>IF(F114+SUM(E$100:E114)=D$93,F114,D$93-SUM(E$100:E114))</f>
        <v>416674.46695692942</v>
      </c>
      <c r="E115" s="377">
        <f>IF(+J97&lt;F114,J97,D115)</f>
        <v>22619.3125</v>
      </c>
      <c r="F115" s="54">
        <f t="shared" ref="F115:F131" si="64">+D115-E115</f>
        <v>394055.15445692942</v>
      </c>
      <c r="G115" s="54">
        <f t="shared" ref="G115:G131" si="65">+(F115+D115)/2</f>
        <v>405364.81070692942</v>
      </c>
      <c r="H115" s="459">
        <f t="shared" ref="H115:H154" si="66">(D115+F115)/2*J$95+E115</f>
        <v>68208.649969352758</v>
      </c>
      <c r="I115" s="407">
        <f t="shared" ref="I115:I132" si="67">+J$96*G115+E115</f>
        <v>68208.649969352758</v>
      </c>
      <c r="J115" s="53">
        <f t="shared" si="35"/>
        <v>0</v>
      </c>
      <c r="K115" s="53"/>
      <c r="L115" s="112"/>
      <c r="M115" s="53">
        <f t="shared" si="41"/>
        <v>0</v>
      </c>
      <c r="N115" s="112"/>
      <c r="O115" s="53">
        <f t="shared" si="38"/>
        <v>0</v>
      </c>
      <c r="P115" s="53">
        <f t="shared" si="39"/>
        <v>0</v>
      </c>
      <c r="Q115" s="1"/>
      <c r="R115" s="1"/>
      <c r="S115" s="1"/>
      <c r="T115" s="1"/>
      <c r="U115" s="1"/>
    </row>
    <row r="116" spans="2:21">
      <c r="B116" t="str">
        <f t="shared" si="40"/>
        <v/>
      </c>
      <c r="C116" s="49">
        <f>IF(D94="","-",+C115+1)</f>
        <v>2026</v>
      </c>
      <c r="D116" s="11">
        <f>IF(F115+SUM(E$100:E115)=D$93,F115,D$93-SUM(E$100:E115))</f>
        <v>394055.15445692942</v>
      </c>
      <c r="E116" s="377">
        <f>IF(+J97&lt;F115,J97,D116)</f>
        <v>22619.3125</v>
      </c>
      <c r="F116" s="54">
        <f t="shared" si="64"/>
        <v>371435.84195692942</v>
      </c>
      <c r="G116" s="54">
        <f t="shared" si="65"/>
        <v>382745.49820692942</v>
      </c>
      <c r="H116" s="459">
        <f t="shared" si="66"/>
        <v>65664.769879986066</v>
      </c>
      <c r="I116" s="407">
        <f t="shared" si="67"/>
        <v>65664.769879986066</v>
      </c>
      <c r="J116" s="53">
        <f t="shared" si="35"/>
        <v>0</v>
      </c>
      <c r="K116" s="53"/>
      <c r="L116" s="112"/>
      <c r="M116" s="53">
        <f t="shared" si="41"/>
        <v>0</v>
      </c>
      <c r="N116" s="112"/>
      <c r="O116" s="53">
        <f t="shared" si="38"/>
        <v>0</v>
      </c>
      <c r="P116" s="53">
        <f t="shared" si="39"/>
        <v>0</v>
      </c>
      <c r="Q116" s="1"/>
      <c r="R116" s="1"/>
      <c r="S116" s="1"/>
      <c r="T116" s="1"/>
      <c r="U116" s="1"/>
    </row>
    <row r="117" spans="2:21">
      <c r="B117" t="str">
        <f t="shared" si="40"/>
        <v/>
      </c>
      <c r="C117" s="49">
        <f>IF(D94="","-",+C116+1)</f>
        <v>2027</v>
      </c>
      <c r="D117" s="11">
        <f>IF(F116+SUM(E$100:E116)=D$93,F116,D$93-SUM(E$100:E116))</f>
        <v>371435.84195692942</v>
      </c>
      <c r="E117" s="377">
        <f>IF(+J97&lt;F116,J97,D117)</f>
        <v>22619.3125</v>
      </c>
      <c r="F117" s="54">
        <f t="shared" si="64"/>
        <v>348816.52945692942</v>
      </c>
      <c r="G117" s="54">
        <f t="shared" si="65"/>
        <v>360126.18570692942</v>
      </c>
      <c r="H117" s="459">
        <f t="shared" si="66"/>
        <v>63120.889790619403</v>
      </c>
      <c r="I117" s="407">
        <f t="shared" si="67"/>
        <v>63120.889790619403</v>
      </c>
      <c r="J117" s="53">
        <f t="shared" si="35"/>
        <v>0</v>
      </c>
      <c r="K117" s="53"/>
      <c r="L117" s="112"/>
      <c r="M117" s="53">
        <f t="shared" si="41"/>
        <v>0</v>
      </c>
      <c r="N117" s="112"/>
      <c r="O117" s="53">
        <f t="shared" si="38"/>
        <v>0</v>
      </c>
      <c r="P117" s="53">
        <f t="shared" si="39"/>
        <v>0</v>
      </c>
      <c r="Q117" s="1"/>
      <c r="R117" s="1"/>
      <c r="S117" s="1"/>
      <c r="T117" s="1"/>
      <c r="U117" s="1"/>
    </row>
    <row r="118" spans="2:21">
      <c r="B118" t="str">
        <f t="shared" si="40"/>
        <v/>
      </c>
      <c r="C118" s="49">
        <f>IF(D94="","-",+C117+1)</f>
        <v>2028</v>
      </c>
      <c r="D118" s="11">
        <f>IF(F117+SUM(E$100:E117)=D$93,F117,D$93-SUM(E$100:E117))</f>
        <v>348816.52945692942</v>
      </c>
      <c r="E118" s="377">
        <f>IF(+J97&lt;F117,J97,D118)</f>
        <v>22619.3125</v>
      </c>
      <c r="F118" s="54">
        <f t="shared" si="64"/>
        <v>326197.21695692942</v>
      </c>
      <c r="G118" s="54">
        <f t="shared" si="65"/>
        <v>337506.87320692942</v>
      </c>
      <c r="H118" s="459">
        <f t="shared" si="66"/>
        <v>60577.009701252726</v>
      </c>
      <c r="I118" s="407">
        <f t="shared" si="67"/>
        <v>60577.009701252726</v>
      </c>
      <c r="J118" s="53">
        <f t="shared" si="35"/>
        <v>0</v>
      </c>
      <c r="K118" s="53"/>
      <c r="L118" s="112"/>
      <c r="M118" s="53">
        <f t="shared" si="41"/>
        <v>0</v>
      </c>
      <c r="N118" s="112"/>
      <c r="O118" s="53">
        <f t="shared" si="38"/>
        <v>0</v>
      </c>
      <c r="P118" s="53">
        <f t="shared" si="39"/>
        <v>0</v>
      </c>
      <c r="Q118" s="1"/>
      <c r="R118" s="1"/>
      <c r="S118" s="1"/>
      <c r="T118" s="1"/>
      <c r="U118" s="1"/>
    </row>
    <row r="119" spans="2:21">
      <c r="B119" t="str">
        <f t="shared" si="40"/>
        <v/>
      </c>
      <c r="C119" s="49">
        <f>IF(D94="","-",+C118+1)</f>
        <v>2029</v>
      </c>
      <c r="D119" s="11">
        <f>IF(F118+SUM(E$100:E118)=D$93,F118,D$93-SUM(E$100:E118))</f>
        <v>326197.21695692942</v>
      </c>
      <c r="E119" s="377">
        <f>IF(+J97&lt;F118,J97,D119)</f>
        <v>22619.3125</v>
      </c>
      <c r="F119" s="54">
        <f t="shared" si="64"/>
        <v>303577.90445692942</v>
      </c>
      <c r="G119" s="54">
        <f t="shared" si="65"/>
        <v>314887.56070692942</v>
      </c>
      <c r="H119" s="459">
        <f t="shared" si="66"/>
        <v>58033.129611886048</v>
      </c>
      <c r="I119" s="407">
        <f t="shared" si="67"/>
        <v>58033.129611886048</v>
      </c>
      <c r="J119" s="53">
        <f t="shared" si="35"/>
        <v>0</v>
      </c>
      <c r="K119" s="53"/>
      <c r="L119" s="112"/>
      <c r="M119" s="53">
        <f t="shared" si="41"/>
        <v>0</v>
      </c>
      <c r="N119" s="112"/>
      <c r="O119" s="53">
        <f t="shared" si="38"/>
        <v>0</v>
      </c>
      <c r="P119" s="53">
        <f t="shared" si="39"/>
        <v>0</v>
      </c>
      <c r="Q119" s="1"/>
      <c r="R119" s="1"/>
      <c r="S119" s="1"/>
      <c r="T119" s="1"/>
      <c r="U119" s="1"/>
    </row>
    <row r="120" spans="2:21">
      <c r="B120" t="str">
        <f t="shared" si="40"/>
        <v/>
      </c>
      <c r="C120" s="49">
        <f>IF(D94="","-",+C119+1)</f>
        <v>2030</v>
      </c>
      <c r="D120" s="11">
        <f>IF(F119+SUM(E$100:E119)=D$93,F119,D$93-SUM(E$100:E119))</f>
        <v>303577.90445692942</v>
      </c>
      <c r="E120" s="377">
        <f>IF(+J97&lt;F119,J97,D120)</f>
        <v>22619.3125</v>
      </c>
      <c r="F120" s="54">
        <f t="shared" si="64"/>
        <v>280958.59195692942</v>
      </c>
      <c r="G120" s="54">
        <f t="shared" si="65"/>
        <v>292268.24820692942</v>
      </c>
      <c r="H120" s="459">
        <f t="shared" si="66"/>
        <v>55489.249522519371</v>
      </c>
      <c r="I120" s="407">
        <f t="shared" si="67"/>
        <v>55489.249522519371</v>
      </c>
      <c r="J120" s="53">
        <f t="shared" si="35"/>
        <v>0</v>
      </c>
      <c r="K120" s="53"/>
      <c r="L120" s="112"/>
      <c r="M120" s="53">
        <f t="shared" si="41"/>
        <v>0</v>
      </c>
      <c r="N120" s="112"/>
      <c r="O120" s="53">
        <f t="shared" si="38"/>
        <v>0</v>
      </c>
      <c r="P120" s="53">
        <f t="shared" si="39"/>
        <v>0</v>
      </c>
      <c r="Q120" s="1"/>
      <c r="R120" s="1"/>
      <c r="S120" s="1"/>
      <c r="T120" s="1"/>
      <c r="U120" s="1"/>
    </row>
    <row r="121" spans="2:21">
      <c r="B121" t="str">
        <f t="shared" si="40"/>
        <v/>
      </c>
      <c r="C121" s="49">
        <f>IF(D94="","-",+C120+1)</f>
        <v>2031</v>
      </c>
      <c r="D121" s="11">
        <f>IF(F120+SUM(E$100:E120)=D$93,F120,D$93-SUM(E$100:E120))</f>
        <v>280958.59195692942</v>
      </c>
      <c r="E121" s="377">
        <f>IF(+J97&lt;F120,J97,D121)</f>
        <v>22619.3125</v>
      </c>
      <c r="F121" s="54">
        <f t="shared" si="64"/>
        <v>258339.27945692942</v>
      </c>
      <c r="G121" s="54">
        <f t="shared" si="65"/>
        <v>269648.93570692942</v>
      </c>
      <c r="H121" s="459">
        <f t="shared" si="66"/>
        <v>52945.369433152693</v>
      </c>
      <c r="I121" s="407">
        <f t="shared" si="67"/>
        <v>52945.369433152693</v>
      </c>
      <c r="J121" s="53">
        <f t="shared" si="35"/>
        <v>0</v>
      </c>
      <c r="K121" s="53"/>
      <c r="L121" s="112"/>
      <c r="M121" s="53">
        <f t="shared" si="41"/>
        <v>0</v>
      </c>
      <c r="N121" s="112"/>
      <c r="O121" s="53">
        <f t="shared" si="38"/>
        <v>0</v>
      </c>
      <c r="P121" s="53">
        <f t="shared" si="39"/>
        <v>0</v>
      </c>
      <c r="Q121" s="1"/>
      <c r="R121" s="1"/>
      <c r="S121" s="1"/>
      <c r="T121" s="1"/>
      <c r="U121" s="1"/>
    </row>
    <row r="122" spans="2:21">
      <c r="B122" t="str">
        <f t="shared" si="40"/>
        <v/>
      </c>
      <c r="C122" s="49">
        <f>IF(D94="","-",+C121+1)</f>
        <v>2032</v>
      </c>
      <c r="D122" s="11">
        <f>IF(F121+SUM(E$100:E121)=D$93,F121,D$93-SUM(E$100:E121))</f>
        <v>258339.27945692942</v>
      </c>
      <c r="E122" s="377">
        <f>IF(+J97&lt;F121,J97,D122)</f>
        <v>22619.3125</v>
      </c>
      <c r="F122" s="54">
        <f t="shared" si="64"/>
        <v>235719.96695692942</v>
      </c>
      <c r="G122" s="54">
        <f t="shared" si="65"/>
        <v>247029.62320692942</v>
      </c>
      <c r="H122" s="459">
        <f t="shared" si="66"/>
        <v>50401.489343786023</v>
      </c>
      <c r="I122" s="407">
        <f t="shared" si="67"/>
        <v>50401.489343786023</v>
      </c>
      <c r="J122" s="53">
        <f t="shared" si="35"/>
        <v>0</v>
      </c>
      <c r="K122" s="53"/>
      <c r="L122" s="112"/>
      <c r="M122" s="53">
        <f t="shared" si="41"/>
        <v>0</v>
      </c>
      <c r="N122" s="112"/>
      <c r="O122" s="53">
        <f t="shared" si="38"/>
        <v>0</v>
      </c>
      <c r="P122" s="53">
        <f t="shared" si="39"/>
        <v>0</v>
      </c>
      <c r="Q122" s="1"/>
      <c r="R122" s="1"/>
      <c r="S122" s="1"/>
      <c r="T122" s="1"/>
      <c r="U122" s="1"/>
    </row>
    <row r="123" spans="2:21">
      <c r="B123" t="str">
        <f t="shared" si="40"/>
        <v/>
      </c>
      <c r="C123" s="49">
        <f>IF(D94="","-",+C122+1)</f>
        <v>2033</v>
      </c>
      <c r="D123" s="11">
        <f>IF(F122+SUM(E$100:E122)=D$93,F122,D$93-SUM(E$100:E122))</f>
        <v>235719.96695692942</v>
      </c>
      <c r="E123" s="377">
        <f>IF(+J97&lt;F122,J97,D123)</f>
        <v>22619.3125</v>
      </c>
      <c r="F123" s="54">
        <f t="shared" si="64"/>
        <v>213100.65445692942</v>
      </c>
      <c r="G123" s="54">
        <f t="shared" si="65"/>
        <v>224410.31070692942</v>
      </c>
      <c r="H123" s="459">
        <f t="shared" si="66"/>
        <v>47857.609254419353</v>
      </c>
      <c r="I123" s="407">
        <f t="shared" si="67"/>
        <v>47857.609254419353</v>
      </c>
      <c r="J123" s="53">
        <f t="shared" si="35"/>
        <v>0</v>
      </c>
      <c r="K123" s="53"/>
      <c r="L123" s="112"/>
      <c r="M123" s="53">
        <f t="shared" si="41"/>
        <v>0</v>
      </c>
      <c r="N123" s="112"/>
      <c r="O123" s="53">
        <f t="shared" si="38"/>
        <v>0</v>
      </c>
      <c r="P123" s="53">
        <f t="shared" si="39"/>
        <v>0</v>
      </c>
      <c r="Q123" s="1"/>
      <c r="R123" s="1"/>
      <c r="S123" s="1"/>
      <c r="T123" s="1"/>
      <c r="U123" s="1"/>
    </row>
    <row r="124" spans="2:21">
      <c r="B124" t="str">
        <f t="shared" si="40"/>
        <v/>
      </c>
      <c r="C124" s="49">
        <f>IF(D94="","-",+C123+1)</f>
        <v>2034</v>
      </c>
      <c r="D124" s="11">
        <f>IF(F123+SUM(E$100:E123)=D$93,F123,D$93-SUM(E$100:E123))</f>
        <v>213100.65445692942</v>
      </c>
      <c r="E124" s="377">
        <f>IF(+J97&lt;F123,J97,D124)</f>
        <v>22619.3125</v>
      </c>
      <c r="F124" s="54">
        <f t="shared" si="64"/>
        <v>190481.34195692942</v>
      </c>
      <c r="G124" s="54">
        <f t="shared" si="65"/>
        <v>201790.99820692942</v>
      </c>
      <c r="H124" s="459">
        <f t="shared" si="66"/>
        <v>45313.729165052675</v>
      </c>
      <c r="I124" s="407">
        <f t="shared" si="67"/>
        <v>45313.729165052675</v>
      </c>
      <c r="J124" s="53">
        <f t="shared" si="35"/>
        <v>0</v>
      </c>
      <c r="K124" s="53"/>
      <c r="L124" s="112"/>
      <c r="M124" s="53">
        <f t="shared" si="41"/>
        <v>0</v>
      </c>
      <c r="N124" s="112"/>
      <c r="O124" s="53">
        <f t="shared" si="38"/>
        <v>0</v>
      </c>
      <c r="P124" s="53">
        <f t="shared" si="39"/>
        <v>0</v>
      </c>
      <c r="Q124" s="1"/>
      <c r="R124" s="1"/>
      <c r="S124" s="1"/>
      <c r="T124" s="1"/>
      <c r="U124" s="1"/>
    </row>
    <row r="125" spans="2:21">
      <c r="B125" t="str">
        <f t="shared" si="40"/>
        <v/>
      </c>
      <c r="C125" s="49">
        <f>IF(D94="","-",+C124+1)</f>
        <v>2035</v>
      </c>
      <c r="D125" s="11">
        <f>IF(F124+SUM(E$100:E124)=D$93,F124,D$93-SUM(E$100:E124))</f>
        <v>190481.34195692942</v>
      </c>
      <c r="E125" s="377">
        <f>IF(+J97&lt;F124,J97,D125)</f>
        <v>22619.3125</v>
      </c>
      <c r="F125" s="54">
        <f t="shared" si="64"/>
        <v>167862.02945692942</v>
      </c>
      <c r="G125" s="54">
        <f t="shared" si="65"/>
        <v>179171.68570692942</v>
      </c>
      <c r="H125" s="459">
        <f t="shared" si="66"/>
        <v>42769.849075685997</v>
      </c>
      <c r="I125" s="407">
        <f t="shared" si="67"/>
        <v>42769.849075685997</v>
      </c>
      <c r="J125" s="53">
        <f t="shared" si="35"/>
        <v>0</v>
      </c>
      <c r="K125" s="53"/>
      <c r="L125" s="112"/>
      <c r="M125" s="53">
        <f t="shared" si="41"/>
        <v>0</v>
      </c>
      <c r="N125" s="112"/>
      <c r="O125" s="53">
        <f t="shared" si="38"/>
        <v>0</v>
      </c>
      <c r="P125" s="53">
        <f t="shared" si="39"/>
        <v>0</v>
      </c>
      <c r="Q125" s="1"/>
      <c r="R125" s="1"/>
      <c r="S125" s="1"/>
      <c r="T125" s="1"/>
      <c r="U125" s="1"/>
    </row>
    <row r="126" spans="2:21">
      <c r="B126" t="str">
        <f t="shared" si="40"/>
        <v/>
      </c>
      <c r="C126" s="49">
        <f>IF(D94="","-",+C125+1)</f>
        <v>2036</v>
      </c>
      <c r="D126" s="11">
        <f>IF(F125+SUM(E$100:E125)=D$93,F125,D$93-SUM(E$100:E125))</f>
        <v>167862.02945692942</v>
      </c>
      <c r="E126" s="377">
        <f>IF(+J97&lt;F125,J97,D126)</f>
        <v>22619.3125</v>
      </c>
      <c r="F126" s="54">
        <f t="shared" si="64"/>
        <v>145242.71695692942</v>
      </c>
      <c r="G126" s="54">
        <f t="shared" si="65"/>
        <v>156552.37320692942</v>
      </c>
      <c r="H126" s="459">
        <f t="shared" si="66"/>
        <v>40225.96898631932</v>
      </c>
      <c r="I126" s="407">
        <f t="shared" si="67"/>
        <v>40225.96898631932</v>
      </c>
      <c r="J126" s="53">
        <f t="shared" si="35"/>
        <v>0</v>
      </c>
      <c r="K126" s="53"/>
      <c r="L126" s="112"/>
      <c r="M126" s="53">
        <f t="shared" si="41"/>
        <v>0</v>
      </c>
      <c r="N126" s="112"/>
      <c r="O126" s="53">
        <f t="shared" si="38"/>
        <v>0</v>
      </c>
      <c r="P126" s="53">
        <f t="shared" si="39"/>
        <v>0</v>
      </c>
      <c r="Q126" s="1"/>
      <c r="R126" s="1"/>
      <c r="S126" s="1"/>
      <c r="T126" s="1"/>
      <c r="U126" s="1"/>
    </row>
    <row r="127" spans="2:21">
      <c r="B127" t="str">
        <f t="shared" si="40"/>
        <v/>
      </c>
      <c r="C127" s="49">
        <f>IF(D94="","-",+C126+1)</f>
        <v>2037</v>
      </c>
      <c r="D127" s="11">
        <f>IF(F126+SUM(E$100:E126)=D$93,F126,D$93-SUM(E$100:E126))</f>
        <v>145242.71695692942</v>
      </c>
      <c r="E127" s="377">
        <f>IF(+J97&lt;F126,J97,D127)</f>
        <v>22619.3125</v>
      </c>
      <c r="F127" s="54">
        <f t="shared" si="64"/>
        <v>122623.40445692942</v>
      </c>
      <c r="G127" s="54">
        <f t="shared" si="65"/>
        <v>133933.06070692942</v>
      </c>
      <c r="H127" s="459">
        <f t="shared" si="66"/>
        <v>37682.088896952642</v>
      </c>
      <c r="I127" s="407">
        <f t="shared" si="67"/>
        <v>37682.088896952642</v>
      </c>
      <c r="J127" s="53">
        <f t="shared" si="35"/>
        <v>0</v>
      </c>
      <c r="K127" s="53"/>
      <c r="L127" s="112"/>
      <c r="M127" s="53">
        <f t="shared" si="41"/>
        <v>0</v>
      </c>
      <c r="N127" s="112"/>
      <c r="O127" s="53">
        <f t="shared" si="38"/>
        <v>0</v>
      </c>
      <c r="P127" s="53">
        <f t="shared" si="39"/>
        <v>0</v>
      </c>
      <c r="Q127" s="1"/>
      <c r="R127" s="1"/>
      <c r="S127" s="1"/>
      <c r="T127" s="1"/>
      <c r="U127" s="1"/>
    </row>
    <row r="128" spans="2:21">
      <c r="B128" t="str">
        <f t="shared" si="40"/>
        <v/>
      </c>
      <c r="C128" s="49">
        <f>IF(D94="","-",+C127+1)</f>
        <v>2038</v>
      </c>
      <c r="D128" s="11">
        <f>IF(F127+SUM(E$100:E127)=D$93,F127,D$93-SUM(E$100:E127))</f>
        <v>122623.40445692942</v>
      </c>
      <c r="E128" s="377">
        <f>IF(+J97&lt;F127,J97,D128)</f>
        <v>22619.3125</v>
      </c>
      <c r="F128" s="54">
        <f t="shared" si="64"/>
        <v>100004.09195692942</v>
      </c>
      <c r="G128" s="54">
        <f t="shared" si="65"/>
        <v>111313.74820692942</v>
      </c>
      <c r="H128" s="459">
        <f t="shared" si="66"/>
        <v>35138.208807585972</v>
      </c>
      <c r="I128" s="407">
        <f t="shared" si="67"/>
        <v>35138.208807585972</v>
      </c>
      <c r="J128" s="53">
        <f t="shared" si="35"/>
        <v>0</v>
      </c>
      <c r="K128" s="53"/>
      <c r="L128" s="112"/>
      <c r="M128" s="53">
        <f t="shared" si="41"/>
        <v>0</v>
      </c>
      <c r="N128" s="112"/>
      <c r="O128" s="53">
        <f t="shared" si="38"/>
        <v>0</v>
      </c>
      <c r="P128" s="53">
        <f t="shared" si="39"/>
        <v>0</v>
      </c>
      <c r="Q128" s="1"/>
      <c r="R128" s="1"/>
      <c r="S128" s="1"/>
      <c r="T128" s="1"/>
      <c r="U128" s="1"/>
    </row>
    <row r="129" spans="2:21">
      <c r="B129" t="str">
        <f t="shared" si="40"/>
        <v/>
      </c>
      <c r="C129" s="49">
        <f>IF(D94="","-",+C128+1)</f>
        <v>2039</v>
      </c>
      <c r="D129" s="11">
        <f>IF(F128+SUM(E$100:E128)=D$93,F128,D$93-SUM(E$100:E128))</f>
        <v>100004.09195692942</v>
      </c>
      <c r="E129" s="377">
        <f>IF(+J97&lt;F128,J97,D129)</f>
        <v>22619.3125</v>
      </c>
      <c r="F129" s="54">
        <f t="shared" si="64"/>
        <v>77384.77945692942</v>
      </c>
      <c r="G129" s="54">
        <f t="shared" si="65"/>
        <v>88694.43570692942</v>
      </c>
      <c r="H129" s="459">
        <f t="shared" si="66"/>
        <v>32594.328718219294</v>
      </c>
      <c r="I129" s="407">
        <f t="shared" si="67"/>
        <v>32594.328718219294</v>
      </c>
      <c r="J129" s="53">
        <f t="shared" si="35"/>
        <v>0</v>
      </c>
      <c r="K129" s="53"/>
      <c r="L129" s="112"/>
      <c r="M129" s="53">
        <f t="shared" si="41"/>
        <v>0</v>
      </c>
      <c r="N129" s="112"/>
      <c r="O129" s="53">
        <f t="shared" si="38"/>
        <v>0</v>
      </c>
      <c r="P129" s="53">
        <f t="shared" si="39"/>
        <v>0</v>
      </c>
      <c r="Q129" s="1"/>
      <c r="R129" s="1"/>
      <c r="S129" s="1"/>
      <c r="T129" s="1"/>
      <c r="U129" s="1"/>
    </row>
    <row r="130" spans="2:21">
      <c r="B130" t="str">
        <f t="shared" si="40"/>
        <v/>
      </c>
      <c r="C130" s="49">
        <f>IF(D94="","-",+C129+1)</f>
        <v>2040</v>
      </c>
      <c r="D130" s="11">
        <f>IF(F129+SUM(E$100:E129)=D$93,F129,D$93-SUM(E$100:E129))</f>
        <v>77384.77945692942</v>
      </c>
      <c r="E130" s="377">
        <f>IF(+J97&lt;F129,J97,D130)</f>
        <v>22619.3125</v>
      </c>
      <c r="F130" s="54">
        <f t="shared" si="64"/>
        <v>54765.46695692942</v>
      </c>
      <c r="G130" s="54">
        <f t="shared" si="65"/>
        <v>66075.12320692942</v>
      </c>
      <c r="H130" s="459">
        <f t="shared" si="66"/>
        <v>30050.44862885262</v>
      </c>
      <c r="I130" s="407">
        <f t="shared" si="67"/>
        <v>30050.44862885262</v>
      </c>
      <c r="J130" s="53">
        <f t="shared" si="35"/>
        <v>0</v>
      </c>
      <c r="K130" s="53"/>
      <c r="L130" s="112"/>
      <c r="M130" s="53">
        <f t="shared" si="41"/>
        <v>0</v>
      </c>
      <c r="N130" s="112"/>
      <c r="O130" s="53">
        <f t="shared" si="38"/>
        <v>0</v>
      </c>
      <c r="P130" s="53">
        <f t="shared" si="39"/>
        <v>0</v>
      </c>
      <c r="Q130" s="1"/>
      <c r="R130" s="1"/>
      <c r="S130" s="1"/>
      <c r="T130" s="1"/>
      <c r="U130" s="1"/>
    </row>
    <row r="131" spans="2:21">
      <c r="B131" t="str">
        <f t="shared" si="40"/>
        <v/>
      </c>
      <c r="C131" s="49">
        <f>IF(D94="","-",+C130+1)</f>
        <v>2041</v>
      </c>
      <c r="D131" s="11">
        <f>IF(F130+SUM(E$100:E130)=D$93,F130,D$93-SUM(E$100:E130))</f>
        <v>54765.46695692942</v>
      </c>
      <c r="E131" s="377">
        <f>IF(+J97&lt;F130,J97,D131)</f>
        <v>22619.3125</v>
      </c>
      <c r="F131" s="54">
        <f t="shared" si="64"/>
        <v>32146.15445692942</v>
      </c>
      <c r="G131" s="54">
        <f t="shared" si="65"/>
        <v>43455.81070692942</v>
      </c>
      <c r="H131" s="459">
        <f t="shared" si="66"/>
        <v>27506.568539485947</v>
      </c>
      <c r="I131" s="407">
        <f t="shared" si="67"/>
        <v>27506.568539485947</v>
      </c>
      <c r="J131" s="53">
        <f t="shared" si="35"/>
        <v>0</v>
      </c>
      <c r="K131" s="53"/>
      <c r="L131" s="112"/>
      <c r="M131" s="53">
        <f t="shared" si="41"/>
        <v>0</v>
      </c>
      <c r="N131" s="112"/>
      <c r="O131" s="53">
        <f t="shared" si="38"/>
        <v>0</v>
      </c>
      <c r="P131" s="53">
        <f t="shared" si="39"/>
        <v>0</v>
      </c>
      <c r="Q131" s="1"/>
      <c r="R131" s="1"/>
      <c r="S131" s="1"/>
      <c r="T131" s="1"/>
      <c r="U131" s="1"/>
    </row>
    <row r="132" spans="2:21">
      <c r="B132" t="str">
        <f t="shared" si="40"/>
        <v/>
      </c>
      <c r="C132" s="49">
        <f>IF(D94="","-",+C131+1)</f>
        <v>2042</v>
      </c>
      <c r="D132" s="11">
        <f>IF(F131+SUM(E$100:E131)=D$93,F131,D$93-SUM(E$100:E131))</f>
        <v>32146.15445692942</v>
      </c>
      <c r="E132" s="377">
        <f>IF(+J97&lt;F131,J97,D132)</f>
        <v>22619.3125</v>
      </c>
      <c r="F132" s="54">
        <f t="shared" ref="F132:F155" si="68">+D132-E132</f>
        <v>9526.8419569294201</v>
      </c>
      <c r="G132" s="54">
        <f t="shared" ref="G132:G155" si="69">+(F132+D132)/2</f>
        <v>20836.49820692942</v>
      </c>
      <c r="H132" s="459">
        <f t="shared" si="66"/>
        <v>24962.688450119269</v>
      </c>
      <c r="I132" s="407">
        <f t="shared" si="67"/>
        <v>24962.688450119269</v>
      </c>
      <c r="J132" s="53">
        <f t="shared" ref="J132:J155" si="70">+I132-H132</f>
        <v>0</v>
      </c>
      <c r="K132" s="53"/>
      <c r="L132" s="112"/>
      <c r="M132" s="53">
        <f t="shared" ref="M132:M155" si="71">IF(L132&lt;&gt;0,+H132-L132,0)</f>
        <v>0</v>
      </c>
      <c r="N132" s="112"/>
      <c r="O132" s="53">
        <f t="shared" ref="O132:O155" si="72">IF(N132&lt;&gt;0,+I132-N132,0)</f>
        <v>0</v>
      </c>
      <c r="P132" s="53">
        <f t="shared" ref="P132:P155" si="73">+O132-M132</f>
        <v>0</v>
      </c>
      <c r="Q132" s="1"/>
      <c r="R132" s="1"/>
      <c r="S132" s="1"/>
      <c r="T132" s="1"/>
      <c r="U132" s="1"/>
    </row>
    <row r="133" spans="2:21">
      <c r="B133" t="str">
        <f t="shared" si="40"/>
        <v/>
      </c>
      <c r="C133" s="49">
        <f>IF(D94="","-",+C132+1)</f>
        <v>2043</v>
      </c>
      <c r="D133" s="11">
        <f>IF(F132+SUM(E$100:E132)=D$93,F132,D$93-SUM(E$100:E132))</f>
        <v>9526.8419569294201</v>
      </c>
      <c r="E133" s="377">
        <f>IF(+J97&lt;F132,J97,D133)</f>
        <v>9526.8419569294201</v>
      </c>
      <c r="F133" s="54">
        <f t="shared" si="68"/>
        <v>0</v>
      </c>
      <c r="G133" s="54">
        <f t="shared" si="69"/>
        <v>4763.4209784647101</v>
      </c>
      <c r="H133" s="459">
        <f t="shared" si="66"/>
        <v>10062.559909647387</v>
      </c>
      <c r="I133" s="407">
        <f t="shared" ref="I133:I155" si="74">+J$96*G133+E133</f>
        <v>10062.559909647387</v>
      </c>
      <c r="J133" s="53">
        <f t="shared" si="70"/>
        <v>0</v>
      </c>
      <c r="K133" s="53"/>
      <c r="L133" s="112"/>
      <c r="M133" s="53">
        <f t="shared" si="71"/>
        <v>0</v>
      </c>
      <c r="N133" s="112"/>
      <c r="O133" s="53">
        <f t="shared" si="72"/>
        <v>0</v>
      </c>
      <c r="P133" s="53">
        <f t="shared" si="73"/>
        <v>0</v>
      </c>
      <c r="Q133" s="1"/>
      <c r="R133" s="1"/>
      <c r="S133" s="1"/>
      <c r="T133" s="1"/>
      <c r="U133" s="1"/>
    </row>
    <row r="134" spans="2:21">
      <c r="B134" t="str">
        <f t="shared" si="40"/>
        <v/>
      </c>
      <c r="C134" s="49">
        <f>IF(D94="","-",+C133+1)</f>
        <v>2044</v>
      </c>
      <c r="D134" s="11">
        <f>IF(F133+SUM(E$100:E133)=D$93,F133,D$93-SUM(E$100:E133))</f>
        <v>0</v>
      </c>
      <c r="E134" s="377">
        <f>IF(+J97&lt;F133,J97,D134)</f>
        <v>0</v>
      </c>
      <c r="F134" s="54">
        <f t="shared" si="68"/>
        <v>0</v>
      </c>
      <c r="G134" s="54">
        <f t="shared" si="69"/>
        <v>0</v>
      </c>
      <c r="H134" s="459">
        <f t="shared" si="66"/>
        <v>0</v>
      </c>
      <c r="I134" s="407">
        <f t="shared" si="74"/>
        <v>0</v>
      </c>
      <c r="J134" s="53">
        <f t="shared" si="70"/>
        <v>0</v>
      </c>
      <c r="K134" s="53"/>
      <c r="L134" s="112"/>
      <c r="M134" s="53">
        <f t="shared" si="71"/>
        <v>0</v>
      </c>
      <c r="N134" s="112"/>
      <c r="O134" s="53">
        <f t="shared" si="72"/>
        <v>0</v>
      </c>
      <c r="P134" s="53">
        <f t="shared" si="73"/>
        <v>0</v>
      </c>
      <c r="Q134" s="1"/>
      <c r="R134" s="1"/>
      <c r="S134" s="1"/>
      <c r="T134" s="1"/>
      <c r="U134" s="1"/>
    </row>
    <row r="135" spans="2:21">
      <c r="B135" t="str">
        <f t="shared" si="40"/>
        <v/>
      </c>
      <c r="C135" s="49">
        <f>IF(D94="","-",+C134+1)</f>
        <v>2045</v>
      </c>
      <c r="D135" s="11">
        <f>IF(F134+SUM(E$100:E134)=D$93,F134,D$93-SUM(E$100:E134))</f>
        <v>0</v>
      </c>
      <c r="E135" s="377">
        <f>IF(+J97&lt;F134,J97,D135)</f>
        <v>0</v>
      </c>
      <c r="F135" s="54">
        <f t="shared" si="68"/>
        <v>0</v>
      </c>
      <c r="G135" s="54">
        <f t="shared" si="69"/>
        <v>0</v>
      </c>
      <c r="H135" s="459">
        <f t="shared" si="66"/>
        <v>0</v>
      </c>
      <c r="I135" s="407">
        <f t="shared" si="74"/>
        <v>0</v>
      </c>
      <c r="J135" s="53">
        <f t="shared" si="70"/>
        <v>0</v>
      </c>
      <c r="K135" s="53"/>
      <c r="L135" s="112"/>
      <c r="M135" s="53">
        <f t="shared" si="71"/>
        <v>0</v>
      </c>
      <c r="N135" s="112"/>
      <c r="O135" s="53">
        <f t="shared" si="72"/>
        <v>0</v>
      </c>
      <c r="P135" s="53">
        <f t="shared" si="73"/>
        <v>0</v>
      </c>
      <c r="Q135" s="1"/>
      <c r="R135" s="1"/>
      <c r="S135" s="1"/>
      <c r="T135" s="1"/>
      <c r="U135" s="1"/>
    </row>
    <row r="136" spans="2:21">
      <c r="B136" t="str">
        <f t="shared" si="40"/>
        <v/>
      </c>
      <c r="C136" s="49">
        <f>IF(D94="","-",+C135+1)</f>
        <v>2046</v>
      </c>
      <c r="D136" s="11">
        <f>IF(F135+SUM(E$100:E135)=D$93,F135,D$93-SUM(E$100:E135))</f>
        <v>0</v>
      </c>
      <c r="E136" s="377">
        <f>IF(+J97&lt;F135,J97,D136)</f>
        <v>0</v>
      </c>
      <c r="F136" s="54">
        <f t="shared" si="68"/>
        <v>0</v>
      </c>
      <c r="G136" s="54">
        <f t="shared" si="69"/>
        <v>0</v>
      </c>
      <c r="H136" s="459">
        <f t="shared" si="66"/>
        <v>0</v>
      </c>
      <c r="I136" s="407">
        <f t="shared" si="74"/>
        <v>0</v>
      </c>
      <c r="J136" s="53">
        <f t="shared" si="70"/>
        <v>0</v>
      </c>
      <c r="K136" s="53"/>
      <c r="L136" s="112"/>
      <c r="M136" s="53">
        <f t="shared" si="71"/>
        <v>0</v>
      </c>
      <c r="N136" s="112"/>
      <c r="O136" s="53">
        <f t="shared" si="72"/>
        <v>0</v>
      </c>
      <c r="P136" s="53">
        <f t="shared" si="73"/>
        <v>0</v>
      </c>
      <c r="Q136" s="1"/>
      <c r="R136" s="1"/>
      <c r="S136" s="1"/>
      <c r="T136" s="1"/>
      <c r="U136" s="1"/>
    </row>
    <row r="137" spans="2:21">
      <c r="B137" t="str">
        <f t="shared" si="40"/>
        <v/>
      </c>
      <c r="C137" s="49">
        <f>IF(D94="","-",+C136+1)</f>
        <v>2047</v>
      </c>
      <c r="D137" s="11">
        <f>IF(F136+SUM(E$100:E136)=D$93,F136,D$93-SUM(E$100:E136))</f>
        <v>0</v>
      </c>
      <c r="E137" s="377">
        <f>IF(+J97&lt;F136,J97,D137)</f>
        <v>0</v>
      </c>
      <c r="F137" s="54">
        <f t="shared" si="68"/>
        <v>0</v>
      </c>
      <c r="G137" s="54">
        <f t="shared" si="69"/>
        <v>0</v>
      </c>
      <c r="H137" s="459">
        <f t="shared" si="66"/>
        <v>0</v>
      </c>
      <c r="I137" s="407">
        <f t="shared" si="74"/>
        <v>0</v>
      </c>
      <c r="J137" s="53">
        <f t="shared" si="70"/>
        <v>0</v>
      </c>
      <c r="K137" s="53"/>
      <c r="L137" s="112"/>
      <c r="M137" s="53">
        <f t="shared" si="71"/>
        <v>0</v>
      </c>
      <c r="N137" s="112"/>
      <c r="O137" s="53">
        <f t="shared" si="72"/>
        <v>0</v>
      </c>
      <c r="P137" s="53">
        <f t="shared" si="73"/>
        <v>0</v>
      </c>
      <c r="Q137" s="1"/>
      <c r="R137" s="1"/>
      <c r="S137" s="1"/>
      <c r="T137" s="1"/>
      <c r="U137" s="1"/>
    </row>
    <row r="138" spans="2:21">
      <c r="B138" t="str">
        <f t="shared" si="40"/>
        <v/>
      </c>
      <c r="C138" s="49">
        <f>IF(D94="","-",+C137+1)</f>
        <v>2048</v>
      </c>
      <c r="D138" s="11">
        <f>IF(F137+SUM(E$100:E137)=D$93,F137,D$93-SUM(E$100:E137))</f>
        <v>0</v>
      </c>
      <c r="E138" s="377">
        <f>IF(+J97&lt;F137,J97,D138)</f>
        <v>0</v>
      </c>
      <c r="F138" s="54">
        <f t="shared" si="68"/>
        <v>0</v>
      </c>
      <c r="G138" s="54">
        <f t="shared" si="69"/>
        <v>0</v>
      </c>
      <c r="H138" s="459">
        <f t="shared" si="66"/>
        <v>0</v>
      </c>
      <c r="I138" s="407">
        <f t="shared" si="74"/>
        <v>0</v>
      </c>
      <c r="J138" s="53">
        <f t="shared" si="70"/>
        <v>0</v>
      </c>
      <c r="K138" s="53"/>
      <c r="L138" s="112"/>
      <c r="M138" s="53">
        <f t="shared" si="71"/>
        <v>0</v>
      </c>
      <c r="N138" s="112"/>
      <c r="O138" s="53">
        <f t="shared" si="72"/>
        <v>0</v>
      </c>
      <c r="P138" s="53">
        <f t="shared" si="73"/>
        <v>0</v>
      </c>
      <c r="Q138" s="1"/>
      <c r="R138" s="1"/>
      <c r="S138" s="1"/>
      <c r="T138" s="1"/>
      <c r="U138" s="1"/>
    </row>
    <row r="139" spans="2:21">
      <c r="B139" t="str">
        <f t="shared" si="40"/>
        <v/>
      </c>
      <c r="C139" s="49">
        <f>IF(D94="","-",+C138+1)</f>
        <v>2049</v>
      </c>
      <c r="D139" s="11">
        <f>IF(F138+SUM(E$100:E138)=D$93,F138,D$93-SUM(E$100:E138))</f>
        <v>0</v>
      </c>
      <c r="E139" s="377">
        <f>IF(+J97&lt;F138,J97,D139)</f>
        <v>0</v>
      </c>
      <c r="F139" s="54">
        <f t="shared" si="68"/>
        <v>0</v>
      </c>
      <c r="G139" s="54">
        <f t="shared" si="69"/>
        <v>0</v>
      </c>
      <c r="H139" s="459">
        <f t="shared" si="66"/>
        <v>0</v>
      </c>
      <c r="I139" s="407">
        <f t="shared" si="74"/>
        <v>0</v>
      </c>
      <c r="J139" s="53">
        <f t="shared" si="70"/>
        <v>0</v>
      </c>
      <c r="K139" s="53"/>
      <c r="L139" s="112"/>
      <c r="M139" s="53">
        <f t="shared" si="71"/>
        <v>0</v>
      </c>
      <c r="N139" s="112"/>
      <c r="O139" s="53">
        <f t="shared" si="72"/>
        <v>0</v>
      </c>
      <c r="P139" s="53">
        <f t="shared" si="73"/>
        <v>0</v>
      </c>
      <c r="Q139" s="1"/>
      <c r="R139" s="1"/>
      <c r="S139" s="1"/>
      <c r="T139" s="1"/>
      <c r="U139" s="1"/>
    </row>
    <row r="140" spans="2:21">
      <c r="B140" t="str">
        <f t="shared" si="40"/>
        <v/>
      </c>
      <c r="C140" s="49">
        <f>IF(D94="","-",+C139+1)</f>
        <v>2050</v>
      </c>
      <c r="D140" s="11">
        <f>IF(F139+SUM(E$100:E139)=D$93,F139,D$93-SUM(E$100:E139))</f>
        <v>0</v>
      </c>
      <c r="E140" s="377">
        <f>IF(+J97&lt;F139,J97,D140)</f>
        <v>0</v>
      </c>
      <c r="F140" s="54">
        <f t="shared" si="68"/>
        <v>0</v>
      </c>
      <c r="G140" s="54">
        <f t="shared" si="69"/>
        <v>0</v>
      </c>
      <c r="H140" s="459">
        <f t="shared" si="66"/>
        <v>0</v>
      </c>
      <c r="I140" s="407">
        <f t="shared" si="74"/>
        <v>0</v>
      </c>
      <c r="J140" s="53">
        <f t="shared" si="70"/>
        <v>0</v>
      </c>
      <c r="K140" s="53"/>
      <c r="L140" s="112"/>
      <c r="M140" s="53">
        <f t="shared" si="71"/>
        <v>0</v>
      </c>
      <c r="N140" s="112"/>
      <c r="O140" s="53">
        <f t="shared" si="72"/>
        <v>0</v>
      </c>
      <c r="P140" s="53">
        <f t="shared" si="73"/>
        <v>0</v>
      </c>
      <c r="Q140" s="1"/>
      <c r="R140" s="1"/>
      <c r="S140" s="1"/>
      <c r="T140" s="1"/>
      <c r="U140" s="1"/>
    </row>
    <row r="141" spans="2:21">
      <c r="B141" t="str">
        <f t="shared" si="40"/>
        <v/>
      </c>
      <c r="C141" s="49">
        <f>IF(D94="","-",+C140+1)</f>
        <v>2051</v>
      </c>
      <c r="D141" s="11">
        <f>IF(F140+SUM(E$100:E140)=D$93,F140,D$93-SUM(E$100:E140))</f>
        <v>0</v>
      </c>
      <c r="E141" s="377">
        <f>IF(+J97&lt;F140,J97,D141)</f>
        <v>0</v>
      </c>
      <c r="F141" s="54">
        <f t="shared" si="68"/>
        <v>0</v>
      </c>
      <c r="G141" s="54">
        <f t="shared" si="69"/>
        <v>0</v>
      </c>
      <c r="H141" s="459">
        <f t="shared" si="66"/>
        <v>0</v>
      </c>
      <c r="I141" s="407">
        <f t="shared" si="74"/>
        <v>0</v>
      </c>
      <c r="J141" s="53">
        <f t="shared" si="70"/>
        <v>0</v>
      </c>
      <c r="K141" s="53"/>
      <c r="L141" s="112"/>
      <c r="M141" s="53">
        <f t="shared" si="71"/>
        <v>0</v>
      </c>
      <c r="N141" s="112"/>
      <c r="O141" s="53">
        <f t="shared" si="72"/>
        <v>0</v>
      </c>
      <c r="P141" s="53">
        <f t="shared" si="73"/>
        <v>0</v>
      </c>
      <c r="Q141" s="1"/>
      <c r="R141" s="1"/>
      <c r="S141" s="1"/>
      <c r="T141" s="1"/>
      <c r="U141" s="1"/>
    </row>
    <row r="142" spans="2:21">
      <c r="B142" t="str">
        <f t="shared" si="40"/>
        <v/>
      </c>
      <c r="C142" s="49">
        <f>IF(D94="","-",+C141+1)</f>
        <v>2052</v>
      </c>
      <c r="D142" s="11">
        <f>IF(F141+SUM(E$100:E141)=D$93,F141,D$93-SUM(E$100:E141))</f>
        <v>0</v>
      </c>
      <c r="E142" s="377">
        <f>IF(+J97&lt;F141,J97,D142)</f>
        <v>0</v>
      </c>
      <c r="F142" s="54">
        <f t="shared" si="68"/>
        <v>0</v>
      </c>
      <c r="G142" s="54">
        <f t="shared" si="69"/>
        <v>0</v>
      </c>
      <c r="H142" s="459">
        <f t="shared" si="66"/>
        <v>0</v>
      </c>
      <c r="I142" s="407">
        <f t="shared" si="74"/>
        <v>0</v>
      </c>
      <c r="J142" s="53">
        <f t="shared" si="70"/>
        <v>0</v>
      </c>
      <c r="K142" s="53"/>
      <c r="L142" s="112"/>
      <c r="M142" s="53">
        <f t="shared" si="71"/>
        <v>0</v>
      </c>
      <c r="N142" s="112"/>
      <c r="O142" s="53">
        <f t="shared" si="72"/>
        <v>0</v>
      </c>
      <c r="P142" s="53">
        <f t="shared" si="73"/>
        <v>0</v>
      </c>
      <c r="Q142" s="1"/>
      <c r="R142" s="1"/>
      <c r="S142" s="1"/>
      <c r="T142" s="1"/>
      <c r="U142" s="1"/>
    </row>
    <row r="143" spans="2:21">
      <c r="B143" t="str">
        <f t="shared" si="40"/>
        <v/>
      </c>
      <c r="C143" s="49">
        <f>IF(D94="","-",+C142+1)</f>
        <v>2053</v>
      </c>
      <c r="D143" s="11">
        <f>IF(F142+SUM(E$100:E142)=D$93,F142,D$93-SUM(E$100:E142))</f>
        <v>0</v>
      </c>
      <c r="E143" s="377">
        <f>IF(+J97&lt;F142,J97,D143)</f>
        <v>0</v>
      </c>
      <c r="F143" s="54">
        <f t="shared" si="68"/>
        <v>0</v>
      </c>
      <c r="G143" s="54">
        <f t="shared" si="69"/>
        <v>0</v>
      </c>
      <c r="H143" s="459">
        <f t="shared" si="66"/>
        <v>0</v>
      </c>
      <c r="I143" s="407">
        <f t="shared" si="74"/>
        <v>0</v>
      </c>
      <c r="J143" s="53">
        <f t="shared" si="70"/>
        <v>0</v>
      </c>
      <c r="K143" s="53"/>
      <c r="L143" s="112"/>
      <c r="M143" s="53">
        <f t="shared" si="71"/>
        <v>0</v>
      </c>
      <c r="N143" s="112"/>
      <c r="O143" s="53">
        <f t="shared" si="72"/>
        <v>0</v>
      </c>
      <c r="P143" s="53">
        <f t="shared" si="73"/>
        <v>0</v>
      </c>
      <c r="Q143" s="1"/>
      <c r="R143" s="1"/>
      <c r="S143" s="1"/>
      <c r="T143" s="1"/>
      <c r="U143" s="1"/>
    </row>
    <row r="144" spans="2:21">
      <c r="B144" t="str">
        <f t="shared" si="40"/>
        <v/>
      </c>
      <c r="C144" s="49">
        <f>IF(D94="","-",+C143+1)</f>
        <v>2054</v>
      </c>
      <c r="D144" s="11">
        <f>IF(F143+SUM(E$100:E143)=D$93,F143,D$93-SUM(E$100:E143))</f>
        <v>0</v>
      </c>
      <c r="E144" s="377">
        <f>IF(+J97&lt;F143,J97,D144)</f>
        <v>0</v>
      </c>
      <c r="F144" s="54">
        <f t="shared" si="68"/>
        <v>0</v>
      </c>
      <c r="G144" s="54">
        <f t="shared" si="69"/>
        <v>0</v>
      </c>
      <c r="H144" s="459">
        <f t="shared" si="66"/>
        <v>0</v>
      </c>
      <c r="I144" s="407">
        <f t="shared" si="74"/>
        <v>0</v>
      </c>
      <c r="J144" s="53">
        <f t="shared" si="70"/>
        <v>0</v>
      </c>
      <c r="K144" s="53"/>
      <c r="L144" s="112"/>
      <c r="M144" s="53">
        <f t="shared" si="71"/>
        <v>0</v>
      </c>
      <c r="N144" s="112"/>
      <c r="O144" s="53">
        <f t="shared" si="72"/>
        <v>0</v>
      </c>
      <c r="P144" s="53">
        <f t="shared" si="73"/>
        <v>0</v>
      </c>
      <c r="Q144" s="1"/>
      <c r="R144" s="1"/>
      <c r="S144" s="1"/>
      <c r="T144" s="1"/>
      <c r="U144" s="1"/>
    </row>
    <row r="145" spans="2:21">
      <c r="B145" t="str">
        <f t="shared" si="40"/>
        <v/>
      </c>
      <c r="C145" s="49">
        <f>IF(D94="","-",+C144+1)</f>
        <v>2055</v>
      </c>
      <c r="D145" s="11">
        <f>IF(F144+SUM(E$100:E144)=D$93,F144,D$93-SUM(E$100:E144))</f>
        <v>0</v>
      </c>
      <c r="E145" s="377">
        <f>IF(+J97&lt;F144,J97,D145)</f>
        <v>0</v>
      </c>
      <c r="F145" s="54">
        <f t="shared" si="68"/>
        <v>0</v>
      </c>
      <c r="G145" s="54">
        <f t="shared" si="69"/>
        <v>0</v>
      </c>
      <c r="H145" s="459">
        <f t="shared" si="66"/>
        <v>0</v>
      </c>
      <c r="I145" s="407">
        <f t="shared" si="74"/>
        <v>0</v>
      </c>
      <c r="J145" s="53">
        <f t="shared" si="70"/>
        <v>0</v>
      </c>
      <c r="K145" s="53"/>
      <c r="L145" s="112"/>
      <c r="M145" s="53">
        <f t="shared" si="71"/>
        <v>0</v>
      </c>
      <c r="N145" s="112"/>
      <c r="O145" s="53">
        <f t="shared" si="72"/>
        <v>0</v>
      </c>
      <c r="P145" s="53">
        <f t="shared" si="73"/>
        <v>0</v>
      </c>
      <c r="Q145" s="1"/>
      <c r="R145" s="1"/>
      <c r="S145" s="1"/>
      <c r="T145" s="1"/>
      <c r="U145" s="1"/>
    </row>
    <row r="146" spans="2:21">
      <c r="B146" t="str">
        <f t="shared" si="40"/>
        <v/>
      </c>
      <c r="C146" s="49">
        <f>IF(D94="","-",+C145+1)</f>
        <v>2056</v>
      </c>
      <c r="D146" s="11">
        <f>IF(F145+SUM(E$100:E145)=D$93,F145,D$93-SUM(E$100:E145))</f>
        <v>0</v>
      </c>
      <c r="E146" s="377">
        <f>IF(+J97&lt;F145,J97,D146)</f>
        <v>0</v>
      </c>
      <c r="F146" s="54">
        <f t="shared" si="68"/>
        <v>0</v>
      </c>
      <c r="G146" s="54">
        <f t="shared" si="69"/>
        <v>0</v>
      </c>
      <c r="H146" s="459">
        <f t="shared" si="66"/>
        <v>0</v>
      </c>
      <c r="I146" s="407">
        <f t="shared" si="74"/>
        <v>0</v>
      </c>
      <c r="J146" s="53">
        <f t="shared" si="70"/>
        <v>0</v>
      </c>
      <c r="K146" s="53"/>
      <c r="L146" s="112"/>
      <c r="M146" s="53">
        <f t="shared" si="71"/>
        <v>0</v>
      </c>
      <c r="N146" s="112"/>
      <c r="O146" s="53">
        <f t="shared" si="72"/>
        <v>0</v>
      </c>
      <c r="P146" s="53">
        <f t="shared" si="73"/>
        <v>0</v>
      </c>
      <c r="Q146" s="1"/>
      <c r="R146" s="1"/>
      <c r="S146" s="1"/>
      <c r="T146" s="1"/>
      <c r="U146" s="1"/>
    </row>
    <row r="147" spans="2:21">
      <c r="B147" t="str">
        <f t="shared" si="40"/>
        <v/>
      </c>
      <c r="C147" s="49">
        <f>IF(D94="","-",+C146+1)</f>
        <v>2057</v>
      </c>
      <c r="D147" s="11">
        <f>IF(F146+SUM(E$100:E146)=D$93,F146,D$93-SUM(E$100:E146))</f>
        <v>0</v>
      </c>
      <c r="E147" s="377">
        <f>IF(+J97&lt;F146,J97,D147)</f>
        <v>0</v>
      </c>
      <c r="F147" s="54">
        <f t="shared" si="68"/>
        <v>0</v>
      </c>
      <c r="G147" s="54">
        <f t="shared" si="69"/>
        <v>0</v>
      </c>
      <c r="H147" s="459">
        <f t="shared" si="66"/>
        <v>0</v>
      </c>
      <c r="I147" s="407">
        <f t="shared" si="74"/>
        <v>0</v>
      </c>
      <c r="J147" s="53">
        <f t="shared" si="70"/>
        <v>0</v>
      </c>
      <c r="K147" s="53"/>
      <c r="L147" s="112"/>
      <c r="M147" s="53">
        <f t="shared" si="71"/>
        <v>0</v>
      </c>
      <c r="N147" s="112"/>
      <c r="O147" s="53">
        <f t="shared" si="72"/>
        <v>0</v>
      </c>
      <c r="P147" s="53">
        <f t="shared" si="73"/>
        <v>0</v>
      </c>
      <c r="Q147" s="1"/>
      <c r="R147" s="1"/>
      <c r="S147" s="1"/>
      <c r="T147" s="1"/>
      <c r="U147" s="1"/>
    </row>
    <row r="148" spans="2:21">
      <c r="B148" t="str">
        <f t="shared" si="40"/>
        <v/>
      </c>
      <c r="C148" s="49">
        <f>IF(D94="","-",+C147+1)</f>
        <v>2058</v>
      </c>
      <c r="D148" s="11">
        <f>IF(F147+SUM(E$100:E147)=D$93,F147,D$93-SUM(E$100:E147))</f>
        <v>0</v>
      </c>
      <c r="E148" s="377">
        <f>IF(+J97&lt;F147,J97,D148)</f>
        <v>0</v>
      </c>
      <c r="F148" s="54">
        <f t="shared" si="68"/>
        <v>0</v>
      </c>
      <c r="G148" s="54">
        <f t="shared" si="69"/>
        <v>0</v>
      </c>
      <c r="H148" s="459">
        <f t="shared" si="66"/>
        <v>0</v>
      </c>
      <c r="I148" s="407">
        <f t="shared" si="74"/>
        <v>0</v>
      </c>
      <c r="J148" s="53">
        <f t="shared" si="70"/>
        <v>0</v>
      </c>
      <c r="K148" s="53"/>
      <c r="L148" s="112"/>
      <c r="M148" s="53">
        <f t="shared" si="71"/>
        <v>0</v>
      </c>
      <c r="N148" s="112"/>
      <c r="O148" s="53">
        <f t="shared" si="72"/>
        <v>0</v>
      </c>
      <c r="P148" s="53">
        <f t="shared" si="73"/>
        <v>0</v>
      </c>
      <c r="Q148" s="1"/>
      <c r="R148" s="1"/>
      <c r="S148" s="1"/>
      <c r="T148" s="1"/>
      <c r="U148" s="1"/>
    </row>
    <row r="149" spans="2:21">
      <c r="B149" t="str">
        <f t="shared" si="40"/>
        <v/>
      </c>
      <c r="C149" s="49">
        <f>IF(D94="","-",+C148+1)</f>
        <v>2059</v>
      </c>
      <c r="D149" s="11">
        <f>IF(F148+SUM(E$100:E148)=D$93,F148,D$93-SUM(E$100:E148))</f>
        <v>0</v>
      </c>
      <c r="E149" s="377">
        <f>IF(+J97&lt;F148,J97,D149)</f>
        <v>0</v>
      </c>
      <c r="F149" s="54">
        <f t="shared" si="68"/>
        <v>0</v>
      </c>
      <c r="G149" s="54">
        <f t="shared" si="69"/>
        <v>0</v>
      </c>
      <c r="H149" s="459">
        <f t="shared" si="66"/>
        <v>0</v>
      </c>
      <c r="I149" s="407">
        <f t="shared" si="74"/>
        <v>0</v>
      </c>
      <c r="J149" s="53">
        <f t="shared" si="70"/>
        <v>0</v>
      </c>
      <c r="K149" s="53"/>
      <c r="L149" s="112"/>
      <c r="M149" s="53">
        <f t="shared" si="71"/>
        <v>0</v>
      </c>
      <c r="N149" s="112"/>
      <c r="O149" s="53">
        <f t="shared" si="72"/>
        <v>0</v>
      </c>
      <c r="P149" s="53">
        <f t="shared" si="73"/>
        <v>0</v>
      </c>
      <c r="Q149" s="1"/>
      <c r="R149" s="1"/>
      <c r="S149" s="1"/>
      <c r="T149" s="1"/>
      <c r="U149" s="1"/>
    </row>
    <row r="150" spans="2:21">
      <c r="B150" t="str">
        <f t="shared" si="40"/>
        <v/>
      </c>
      <c r="C150" s="49">
        <f>IF(D94="","-",+C149+1)</f>
        <v>2060</v>
      </c>
      <c r="D150" s="11">
        <f>IF(F149+SUM(E$100:E149)=D$93,F149,D$93-SUM(E$100:E149))</f>
        <v>0</v>
      </c>
      <c r="E150" s="377">
        <f>IF(+J97&lt;F149,J97,D150)</f>
        <v>0</v>
      </c>
      <c r="F150" s="54">
        <f t="shared" si="68"/>
        <v>0</v>
      </c>
      <c r="G150" s="54">
        <f t="shared" si="69"/>
        <v>0</v>
      </c>
      <c r="H150" s="459">
        <f t="shared" si="66"/>
        <v>0</v>
      </c>
      <c r="I150" s="407">
        <f t="shared" si="74"/>
        <v>0</v>
      </c>
      <c r="J150" s="53">
        <f t="shared" si="70"/>
        <v>0</v>
      </c>
      <c r="K150" s="53"/>
      <c r="L150" s="112"/>
      <c r="M150" s="53">
        <f t="shared" si="71"/>
        <v>0</v>
      </c>
      <c r="N150" s="112"/>
      <c r="O150" s="53">
        <f t="shared" si="72"/>
        <v>0</v>
      </c>
      <c r="P150" s="53">
        <f t="shared" si="73"/>
        <v>0</v>
      </c>
      <c r="Q150" s="1"/>
      <c r="R150" s="1"/>
      <c r="S150" s="1"/>
      <c r="T150" s="1"/>
      <c r="U150" s="1"/>
    </row>
    <row r="151" spans="2:21">
      <c r="B151" t="str">
        <f t="shared" si="40"/>
        <v/>
      </c>
      <c r="C151" s="49">
        <f>IF(D94="","-",+C150+1)</f>
        <v>2061</v>
      </c>
      <c r="D151" s="11">
        <f>IF(F150+SUM(E$100:E150)=D$93,F150,D$93-SUM(E$100:E150))</f>
        <v>0</v>
      </c>
      <c r="E151" s="377">
        <f>IF(+J97&lt;F150,J97,D151)</f>
        <v>0</v>
      </c>
      <c r="F151" s="54">
        <f t="shared" si="68"/>
        <v>0</v>
      </c>
      <c r="G151" s="54">
        <f t="shared" si="69"/>
        <v>0</v>
      </c>
      <c r="H151" s="459">
        <f t="shared" si="66"/>
        <v>0</v>
      </c>
      <c r="I151" s="407">
        <f t="shared" si="74"/>
        <v>0</v>
      </c>
      <c r="J151" s="53">
        <f t="shared" si="70"/>
        <v>0</v>
      </c>
      <c r="K151" s="53"/>
      <c r="L151" s="112"/>
      <c r="M151" s="53">
        <f t="shared" si="71"/>
        <v>0</v>
      </c>
      <c r="N151" s="112"/>
      <c r="O151" s="53">
        <f t="shared" si="72"/>
        <v>0</v>
      </c>
      <c r="P151" s="53">
        <f t="shared" si="73"/>
        <v>0</v>
      </c>
      <c r="Q151" s="1"/>
      <c r="R151" s="1"/>
      <c r="S151" s="1"/>
      <c r="T151" s="1"/>
      <c r="U151" s="1"/>
    </row>
    <row r="152" spans="2:21">
      <c r="B152" t="str">
        <f t="shared" si="40"/>
        <v/>
      </c>
      <c r="C152" s="49">
        <f>IF(D94="","-",+C151+1)</f>
        <v>2062</v>
      </c>
      <c r="D152" s="11">
        <f>IF(F151+SUM(E$100:E151)=D$93,F151,D$93-SUM(E$100:E151))</f>
        <v>0</v>
      </c>
      <c r="E152" s="377">
        <f>IF(+J97&lt;F151,J97,D152)</f>
        <v>0</v>
      </c>
      <c r="F152" s="54">
        <f t="shared" si="68"/>
        <v>0</v>
      </c>
      <c r="G152" s="54">
        <f t="shared" si="69"/>
        <v>0</v>
      </c>
      <c r="H152" s="459">
        <f t="shared" si="66"/>
        <v>0</v>
      </c>
      <c r="I152" s="407">
        <f t="shared" si="74"/>
        <v>0</v>
      </c>
      <c r="J152" s="53">
        <f t="shared" si="70"/>
        <v>0</v>
      </c>
      <c r="K152" s="53"/>
      <c r="L152" s="112"/>
      <c r="M152" s="53">
        <f t="shared" si="71"/>
        <v>0</v>
      </c>
      <c r="N152" s="112"/>
      <c r="O152" s="53">
        <f t="shared" si="72"/>
        <v>0</v>
      </c>
      <c r="P152" s="53">
        <f t="shared" si="73"/>
        <v>0</v>
      </c>
      <c r="Q152" s="1"/>
      <c r="R152" s="1"/>
      <c r="S152" s="1"/>
      <c r="T152" s="1"/>
      <c r="U152" s="1"/>
    </row>
    <row r="153" spans="2:21">
      <c r="B153" t="str">
        <f t="shared" si="40"/>
        <v/>
      </c>
      <c r="C153" s="49">
        <f>IF(D94="","-",+C152+1)</f>
        <v>2063</v>
      </c>
      <c r="D153" s="11">
        <f>IF(F152+SUM(E$100:E152)=D$93,F152,D$93-SUM(E$100:E152))</f>
        <v>0</v>
      </c>
      <c r="E153" s="377">
        <f>IF(+J97&lt;F152,J97,D153)</f>
        <v>0</v>
      </c>
      <c r="F153" s="54">
        <f t="shared" si="68"/>
        <v>0</v>
      </c>
      <c r="G153" s="54">
        <f t="shared" si="69"/>
        <v>0</v>
      </c>
      <c r="H153" s="459">
        <f t="shared" si="66"/>
        <v>0</v>
      </c>
      <c r="I153" s="407">
        <f t="shared" si="74"/>
        <v>0</v>
      </c>
      <c r="J153" s="53">
        <f t="shared" si="70"/>
        <v>0</v>
      </c>
      <c r="K153" s="53"/>
      <c r="L153" s="112"/>
      <c r="M153" s="53">
        <f t="shared" si="71"/>
        <v>0</v>
      </c>
      <c r="N153" s="112"/>
      <c r="O153" s="53">
        <f t="shared" si="72"/>
        <v>0</v>
      </c>
      <c r="P153" s="53">
        <f t="shared" si="73"/>
        <v>0</v>
      </c>
      <c r="Q153" s="1"/>
      <c r="R153" s="1"/>
      <c r="S153" s="1"/>
      <c r="T153" s="1"/>
      <c r="U153" s="1"/>
    </row>
    <row r="154" spans="2:21">
      <c r="B154" t="str">
        <f t="shared" si="40"/>
        <v/>
      </c>
      <c r="C154" s="49">
        <f>IF(D94="","-",+C153+1)</f>
        <v>2064</v>
      </c>
      <c r="D154" s="11">
        <f>IF(F153+SUM(E$100:E153)=D$93,F153,D$93-SUM(E$100:E153))</f>
        <v>0</v>
      </c>
      <c r="E154" s="377">
        <f>IF(+J97&lt;F153,J97,D154)</f>
        <v>0</v>
      </c>
      <c r="F154" s="54">
        <f t="shared" si="68"/>
        <v>0</v>
      </c>
      <c r="G154" s="54">
        <f t="shared" si="69"/>
        <v>0</v>
      </c>
      <c r="H154" s="459">
        <f t="shared" si="66"/>
        <v>0</v>
      </c>
      <c r="I154" s="407">
        <f t="shared" si="74"/>
        <v>0</v>
      </c>
      <c r="J154" s="53">
        <f t="shared" si="70"/>
        <v>0</v>
      </c>
      <c r="K154" s="53"/>
      <c r="L154" s="112"/>
      <c r="M154" s="53">
        <f t="shared" si="71"/>
        <v>0</v>
      </c>
      <c r="N154" s="112"/>
      <c r="O154" s="53">
        <f t="shared" si="72"/>
        <v>0</v>
      </c>
      <c r="P154" s="53">
        <f t="shared" si="73"/>
        <v>0</v>
      </c>
      <c r="Q154" s="1"/>
      <c r="R154" s="1"/>
      <c r="S154" s="1"/>
      <c r="T154" s="1"/>
      <c r="U154" s="1"/>
    </row>
    <row r="155" spans="2:21" ht="13.5" thickBot="1">
      <c r="B155" t="str">
        <f t="shared" si="40"/>
        <v/>
      </c>
      <c r="C155" s="58">
        <f>IF(D94="","-",+C154+1)</f>
        <v>2065</v>
      </c>
      <c r="D155" s="59">
        <f>IF(F154+SUM(E$100:E154)=D$93,F154,D$93-SUM(E$100:E154))</f>
        <v>0</v>
      </c>
      <c r="E155" s="389">
        <f>IF(+J97&lt;F154,J97,D155)</f>
        <v>0</v>
      </c>
      <c r="F155" s="59">
        <f t="shared" si="68"/>
        <v>0</v>
      </c>
      <c r="G155" s="59">
        <f t="shared" si="69"/>
        <v>0</v>
      </c>
      <c r="H155" s="390">
        <f t="shared" ref="H155" si="75">+J$95*G155+E155</f>
        <v>0</v>
      </c>
      <c r="I155" s="408">
        <f t="shared" si="74"/>
        <v>0</v>
      </c>
      <c r="J155" s="63">
        <f t="shared" si="70"/>
        <v>0</v>
      </c>
      <c r="K155" s="53"/>
      <c r="L155" s="113"/>
      <c r="M155" s="63">
        <f t="shared" si="71"/>
        <v>0</v>
      </c>
      <c r="N155" s="113"/>
      <c r="O155" s="63">
        <f t="shared" si="72"/>
        <v>0</v>
      </c>
      <c r="P155" s="63">
        <f t="shared" si="73"/>
        <v>0</v>
      </c>
      <c r="Q155" s="1"/>
      <c r="R155" s="1"/>
      <c r="S155" s="1"/>
      <c r="T155" s="1"/>
      <c r="U155" s="1"/>
    </row>
    <row r="156" spans="2:21">
      <c r="C156" s="11" t="s">
        <v>75</v>
      </c>
      <c r="D156" s="242"/>
      <c r="E156" s="242">
        <f>SUM(E100:E155)</f>
        <v>723818.00000000023</v>
      </c>
      <c r="F156" s="242"/>
      <c r="G156" s="242"/>
      <c r="H156" s="242">
        <f>SUM(H100:H155)</f>
        <v>2166980.4397439696</v>
      </c>
      <c r="I156" s="242">
        <f>SUM(I100:I155)</f>
        <v>2166980.4397439696</v>
      </c>
      <c r="J156" s="242">
        <f>SUM(J100:J155)</f>
        <v>0</v>
      </c>
      <c r="K156" s="242"/>
      <c r="L156" s="242"/>
      <c r="M156" s="242"/>
      <c r="N156" s="242"/>
      <c r="O156" s="242"/>
      <c r="P156" s="1"/>
      <c r="Q156" s="1"/>
      <c r="R156" s="1"/>
      <c r="S156" s="1"/>
      <c r="T156" s="1"/>
      <c r="U156" s="1"/>
    </row>
    <row r="157" spans="2:21">
      <c r="D157" s="2"/>
      <c r="E157" s="1"/>
      <c r="F157" s="1"/>
      <c r="G157" s="1"/>
      <c r="H157" s="1"/>
      <c r="I157" s="260"/>
      <c r="J157" s="260"/>
      <c r="K157" s="242"/>
      <c r="L157" s="260"/>
      <c r="M157" s="260"/>
      <c r="N157" s="260"/>
      <c r="O157" s="260"/>
      <c r="P157" s="1"/>
      <c r="Q157" s="1"/>
      <c r="R157" s="1"/>
      <c r="S157" s="1"/>
      <c r="T157" s="1"/>
      <c r="U157" s="1"/>
    </row>
    <row r="158" spans="2:21">
      <c r="C158" s="83" t="s">
        <v>90</v>
      </c>
      <c r="D158" s="2"/>
      <c r="E158" s="1"/>
      <c r="F158" s="1"/>
      <c r="G158" s="1"/>
      <c r="H158" s="1"/>
      <c r="I158" s="260"/>
      <c r="J158" s="260"/>
      <c r="K158" s="242"/>
      <c r="L158" s="260"/>
      <c r="M158" s="260"/>
      <c r="N158" s="260"/>
      <c r="O158" s="260"/>
      <c r="P158" s="1"/>
      <c r="Q158" s="1"/>
      <c r="R158" s="1"/>
      <c r="S158" s="1"/>
      <c r="T158" s="1"/>
      <c r="U158" s="1"/>
    </row>
    <row r="159" spans="2:21">
      <c r="D159" s="2"/>
      <c r="E159" s="1"/>
      <c r="F159" s="1"/>
      <c r="G159" s="1"/>
      <c r="H159" s="1"/>
      <c r="I159" s="260"/>
      <c r="J159" s="260"/>
      <c r="K159" s="242"/>
      <c r="L159" s="260"/>
      <c r="M159" s="260"/>
      <c r="N159" s="260"/>
      <c r="O159" s="260"/>
      <c r="P159" s="1"/>
      <c r="Q159" s="1"/>
      <c r="R159" s="1"/>
      <c r="S159" s="1"/>
      <c r="T159" s="1"/>
      <c r="U159" s="1"/>
    </row>
    <row r="160" spans="2:21">
      <c r="C160" s="29" t="s">
        <v>96</v>
      </c>
      <c r="D160" s="11"/>
      <c r="E160" s="11"/>
      <c r="F160" s="11"/>
      <c r="G160" s="11"/>
      <c r="H160" s="242"/>
      <c r="I160" s="242"/>
      <c r="J160" s="64"/>
      <c r="K160" s="64"/>
      <c r="L160" s="64"/>
      <c r="M160" s="64"/>
      <c r="N160" s="64"/>
      <c r="O160" s="64"/>
      <c r="P160" s="1"/>
      <c r="Q160" s="1"/>
      <c r="R160" s="1"/>
      <c r="S160" s="1"/>
      <c r="T160" s="1"/>
      <c r="U160" s="1"/>
    </row>
    <row r="161" spans="3:21">
      <c r="C161" s="84" t="s">
        <v>76</v>
      </c>
      <c r="D161" s="11"/>
      <c r="E161" s="11"/>
      <c r="F161" s="11"/>
      <c r="G161" s="11"/>
      <c r="H161" s="242"/>
      <c r="I161" s="242"/>
      <c r="J161" s="64"/>
      <c r="K161" s="64"/>
      <c r="L161" s="64"/>
      <c r="M161" s="64"/>
      <c r="N161" s="64"/>
      <c r="O161" s="64"/>
      <c r="P161" s="1"/>
      <c r="Q161" s="1"/>
      <c r="R161" s="1"/>
      <c r="S161" s="1"/>
      <c r="T161" s="1"/>
      <c r="U161" s="1"/>
    </row>
    <row r="162" spans="3:21">
      <c r="C162" s="84" t="s">
        <v>77</v>
      </c>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409" t="s">
        <v>129</v>
      </c>
      <c r="Q163" s="1"/>
      <c r="R163" s="1"/>
      <c r="S163" s="1"/>
      <c r="T163" s="1"/>
      <c r="U163" s="1"/>
    </row>
  </sheetData>
  <phoneticPr fontId="0" type="noConversion"/>
  <conditionalFormatting sqref="C17:C73">
    <cfRule type="cellIs" dxfId="53" priority="1" stopIfTrue="1" operator="equal">
      <formula>$I$10</formula>
    </cfRule>
  </conditionalFormatting>
  <conditionalFormatting sqref="C100:C155">
    <cfRule type="cellIs" dxfId="52" priority="3" stopIfTrue="1" operator="equal">
      <formula>$J$93</formula>
    </cfRule>
  </conditionalFormatting>
  <pageMargins left="0.5" right="0.25" top="1" bottom="0.25" header="0.25" footer="0.5"/>
  <pageSetup scale="47" fitToHeight="2"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0"/>
  <dimension ref="A1:U163"/>
  <sheetViews>
    <sheetView topLeftCell="A111" zoomScaleNormal="100" zoomScaleSheetLayoutView="85" workbookViewId="0">
      <selection activeCell="H111" sqref="H111"/>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2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t="str">
        <f>"For Calendar Year "&amp;V1-1&amp;" and Projected Year "&amp;V1</f>
        <v xml:space="preserve">For Calendar Year -1 and Projected Year </v>
      </c>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104743.57453431052</v>
      </c>
      <c r="P5" s="1"/>
      <c r="R5" s="1"/>
      <c r="S5" s="1"/>
      <c r="T5" s="1"/>
      <c r="U5" s="1"/>
    </row>
    <row r="6" spans="1:21" ht="15.75">
      <c r="C6" s="6"/>
      <c r="D6" s="2"/>
      <c r="E6" s="1"/>
      <c r="F6" s="1"/>
      <c r="G6" s="1"/>
      <c r="H6" s="351"/>
      <c r="I6" s="351"/>
      <c r="J6" s="352"/>
      <c r="K6" s="22" t="s">
        <v>243</v>
      </c>
      <c r="L6" s="353"/>
      <c r="M6" s="1"/>
      <c r="N6" s="354">
        <f>VLOOKUP(I10,C17:I73,6)</f>
        <v>104743.57453431052</v>
      </c>
      <c r="O6" s="1"/>
      <c r="P6" s="1"/>
      <c r="R6" s="1"/>
      <c r="S6" s="1"/>
      <c r="T6" s="1"/>
      <c r="U6" s="1"/>
    </row>
    <row r="7" spans="1:21" ht="13.5" thickBot="1">
      <c r="C7" s="25" t="s">
        <v>46</v>
      </c>
      <c r="D7" s="96" t="s">
        <v>192</v>
      </c>
      <c r="E7" s="1"/>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197</v>
      </c>
      <c r="E9" s="31" t="s">
        <v>319</v>
      </c>
      <c r="F9" s="526">
        <v>295</v>
      </c>
      <c r="G9" s="31"/>
      <c r="H9" s="31"/>
      <c r="I9" s="32"/>
      <c r="J9" s="33"/>
      <c r="P9" s="1"/>
      <c r="R9" s="1"/>
      <c r="S9" s="1"/>
      <c r="T9" s="1"/>
      <c r="U9" s="1"/>
    </row>
    <row r="10" spans="1:21">
      <c r="C10" s="34" t="s">
        <v>49</v>
      </c>
      <c r="D10" s="358">
        <v>985777</v>
      </c>
      <c r="E10" s="1" t="s">
        <v>50</v>
      </c>
      <c r="G10" s="2"/>
      <c r="H10" s="2"/>
      <c r="I10" s="36">
        <f>+'OKT.WS.F.BPU.ATRR.Projected'!R100</f>
        <v>2025</v>
      </c>
      <c r="J10" s="33"/>
      <c r="K10" s="242" t="s">
        <v>51</v>
      </c>
      <c r="O10" s="1"/>
      <c r="P10" s="1"/>
      <c r="R10" s="1"/>
      <c r="S10" s="1"/>
      <c r="T10" s="1"/>
      <c r="U10" s="1"/>
    </row>
    <row r="11" spans="1:21">
      <c r="C11" s="34" t="s">
        <v>52</v>
      </c>
      <c r="D11" s="37">
        <v>2010</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6</v>
      </c>
      <c r="E12" s="34" t="s">
        <v>55</v>
      </c>
      <c r="F12" s="2"/>
      <c r="I12" s="40">
        <f>'OKT.WS.F.BPU.ATRR.Projected'!$F$78</f>
        <v>0.11444992740144029</v>
      </c>
      <c r="J12" s="11"/>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32859.23333333333</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IF(D17=F16,"","IU")</f>
        <v>IU</v>
      </c>
      <c r="C17" s="49">
        <f>IF(D11= "","-",D11)</f>
        <v>2010</v>
      </c>
      <c r="D17" s="371">
        <v>1000000</v>
      </c>
      <c r="E17" s="372">
        <v>8649.6050543178571</v>
      </c>
      <c r="F17" s="371">
        <v>991350.39494568214</v>
      </c>
      <c r="G17" s="373">
        <v>128416.51741983544</v>
      </c>
      <c r="H17" s="374">
        <v>128416.51741983544</v>
      </c>
      <c r="I17" s="51">
        <f t="shared" ref="I17:I49" si="0">H17-G17</f>
        <v>0</v>
      </c>
      <c r="J17" s="51"/>
      <c r="K17" s="114">
        <f t="shared" ref="K17:K22" si="1">G17</f>
        <v>128416.51741983544</v>
      </c>
      <c r="L17" s="52">
        <f t="shared" ref="L17:L49" si="2">IF(K17&lt;&gt;0,+G17-K17,0)</f>
        <v>0</v>
      </c>
      <c r="M17" s="114">
        <f t="shared" ref="M17:M22" si="3">H17</f>
        <v>128416.51741983544</v>
      </c>
      <c r="N17" s="52">
        <f t="shared" ref="N17:N49" si="4">IF(M17&lt;&gt;0,+H17-M17,0)</f>
        <v>0</v>
      </c>
      <c r="O17" s="53">
        <f t="shared" ref="O17:O49" si="5">+N17-L17</f>
        <v>0</v>
      </c>
      <c r="P17" s="1"/>
      <c r="R17" s="1"/>
      <c r="S17" s="1"/>
      <c r="T17" s="1"/>
      <c r="U17" s="1"/>
    </row>
    <row r="18" spans="2:21">
      <c r="B18" t="str">
        <f>IF(D18=F17,"","IU")</f>
        <v/>
      </c>
      <c r="C18" s="49">
        <f>IF(D11="","-",+C17+1)</f>
        <v>2011</v>
      </c>
      <c r="D18" s="375">
        <v>991350.39494568214</v>
      </c>
      <c r="E18" s="373">
        <v>16985.402437265064</v>
      </c>
      <c r="F18" s="375">
        <v>974364.99250841711</v>
      </c>
      <c r="G18" s="373">
        <v>143658.66281023776</v>
      </c>
      <c r="H18" s="374">
        <v>143658.66281023776</v>
      </c>
      <c r="I18" s="51">
        <f t="shared" si="0"/>
        <v>0</v>
      </c>
      <c r="J18" s="51"/>
      <c r="K18" s="376">
        <f t="shared" si="1"/>
        <v>143658.66281023776</v>
      </c>
      <c r="L18" s="53">
        <f t="shared" si="2"/>
        <v>0</v>
      </c>
      <c r="M18" s="376">
        <f t="shared" si="3"/>
        <v>143658.66281023776</v>
      </c>
      <c r="N18" s="53">
        <f t="shared" si="4"/>
        <v>0</v>
      </c>
      <c r="O18" s="53">
        <f t="shared" si="5"/>
        <v>0</v>
      </c>
      <c r="P18" s="1"/>
      <c r="R18" s="1"/>
      <c r="S18" s="1"/>
      <c r="T18" s="1"/>
      <c r="U18" s="1"/>
    </row>
    <row r="19" spans="2:21">
      <c r="B19" t="str">
        <f t="shared" ref="B19:B73" si="6">IF(D19=F18,"","IU")</f>
        <v/>
      </c>
      <c r="C19" s="49">
        <f>IF(D11="","-",+C18+1)</f>
        <v>2012</v>
      </c>
      <c r="D19" s="375">
        <v>974364.99250841711</v>
      </c>
      <c r="E19" s="373">
        <v>17053.169324992024</v>
      </c>
      <c r="F19" s="375">
        <v>957311.82318342512</v>
      </c>
      <c r="G19" s="373">
        <v>109574.51640694846</v>
      </c>
      <c r="H19" s="374">
        <v>109574.51640694846</v>
      </c>
      <c r="I19" s="51">
        <v>0</v>
      </c>
      <c r="J19" s="51"/>
      <c r="K19" s="376">
        <f t="shared" si="1"/>
        <v>109574.51640694846</v>
      </c>
      <c r="L19" s="53">
        <f t="shared" si="2"/>
        <v>0</v>
      </c>
      <c r="M19" s="376">
        <f t="shared" si="3"/>
        <v>109574.51640694846</v>
      </c>
      <c r="N19" s="53">
        <f t="shared" si="4"/>
        <v>0</v>
      </c>
      <c r="O19" s="53">
        <f t="shared" si="5"/>
        <v>0</v>
      </c>
      <c r="P19" s="1"/>
      <c r="R19" s="1"/>
      <c r="S19" s="1"/>
      <c r="T19" s="1"/>
      <c r="U19" s="1"/>
    </row>
    <row r="20" spans="2:21">
      <c r="B20" t="str">
        <f t="shared" si="6"/>
        <v>IU</v>
      </c>
      <c r="C20" s="49">
        <f>IF(D11="","-",+C19+1)</f>
        <v>2013</v>
      </c>
      <c r="D20" s="375">
        <v>943089.16318342497</v>
      </c>
      <c r="E20" s="373">
        <v>17053.169324992024</v>
      </c>
      <c r="F20" s="375">
        <v>926035.99385843298</v>
      </c>
      <c r="G20" s="373">
        <v>118214.46332464613</v>
      </c>
      <c r="H20" s="374">
        <v>118214.46332464613</v>
      </c>
      <c r="I20" s="51">
        <v>0</v>
      </c>
      <c r="J20" s="51"/>
      <c r="K20" s="376">
        <f t="shared" si="1"/>
        <v>118214.46332464613</v>
      </c>
      <c r="L20" s="53">
        <f t="shared" ref="L20:L25" si="7">IF(K20&lt;&gt;0,+G20-K20,0)</f>
        <v>0</v>
      </c>
      <c r="M20" s="376">
        <f t="shared" si="3"/>
        <v>118214.46332464613</v>
      </c>
      <c r="N20" s="53">
        <f>IF(M20&lt;&gt;0,+H20-M20,0)</f>
        <v>0</v>
      </c>
      <c r="O20" s="53">
        <f>+N20-L20</f>
        <v>0</v>
      </c>
      <c r="P20" s="1"/>
      <c r="R20" s="1"/>
      <c r="S20" s="1"/>
      <c r="T20" s="1"/>
      <c r="U20" s="1"/>
    </row>
    <row r="21" spans="2:21">
      <c r="B21" t="str">
        <f t="shared" si="6"/>
        <v/>
      </c>
      <c r="C21" s="49">
        <f>IF(D12="","-",+C20+1)</f>
        <v>2014</v>
      </c>
      <c r="D21" s="375">
        <v>926035.99385843298</v>
      </c>
      <c r="E21" s="373">
        <v>17053.169324992024</v>
      </c>
      <c r="F21" s="375">
        <v>908982.82453344099</v>
      </c>
      <c r="G21" s="373">
        <v>117066.12014630614</v>
      </c>
      <c r="H21" s="374">
        <v>117066.12014630614</v>
      </c>
      <c r="I21" s="51">
        <v>0</v>
      </c>
      <c r="J21" s="51"/>
      <c r="K21" s="376">
        <f t="shared" si="1"/>
        <v>117066.12014630614</v>
      </c>
      <c r="L21" s="53">
        <f t="shared" si="7"/>
        <v>0</v>
      </c>
      <c r="M21" s="376">
        <f t="shared" si="3"/>
        <v>117066.12014630614</v>
      </c>
      <c r="N21" s="53">
        <f>IF(M21&lt;&gt;0,+H21-M21,0)</f>
        <v>0</v>
      </c>
      <c r="O21" s="53">
        <f>+N21-L21</f>
        <v>0</v>
      </c>
      <c r="P21" s="1"/>
      <c r="R21" s="1"/>
      <c r="S21" s="1"/>
      <c r="T21" s="1"/>
      <c r="U21" s="1"/>
    </row>
    <row r="22" spans="2:21">
      <c r="B22" t="str">
        <f t="shared" si="6"/>
        <v/>
      </c>
      <c r="C22" s="49">
        <f>IF(D11="","-",+C21+1)</f>
        <v>2015</v>
      </c>
      <c r="D22" s="375">
        <v>908982.82453344099</v>
      </c>
      <c r="E22" s="373">
        <v>17053.169324992024</v>
      </c>
      <c r="F22" s="375">
        <v>891929.655208449</v>
      </c>
      <c r="G22" s="373">
        <v>108980.29004264352</v>
      </c>
      <c r="H22" s="374">
        <v>108980.29004264352</v>
      </c>
      <c r="I22" s="51">
        <v>0</v>
      </c>
      <c r="J22" s="51"/>
      <c r="K22" s="376">
        <f t="shared" si="1"/>
        <v>108980.29004264352</v>
      </c>
      <c r="L22" s="53">
        <f t="shared" si="7"/>
        <v>0</v>
      </c>
      <c r="M22" s="376">
        <f t="shared" si="3"/>
        <v>108980.29004264352</v>
      </c>
      <c r="N22" s="53">
        <f>IF(M22&lt;&gt;0,+H22-M22,0)</f>
        <v>0</v>
      </c>
      <c r="O22" s="53">
        <f>+N22-L22</f>
        <v>0</v>
      </c>
      <c r="P22" s="1"/>
      <c r="R22" s="1"/>
      <c r="S22" s="1"/>
      <c r="T22" s="1"/>
      <c r="U22" s="1"/>
    </row>
    <row r="23" spans="2:21">
      <c r="B23" t="str">
        <f t="shared" si="6"/>
        <v/>
      </c>
      <c r="C23" s="49">
        <f>IF(D11="","-",+C22+1)</f>
        <v>2016</v>
      </c>
      <c r="D23" s="375">
        <v>891929.655208449</v>
      </c>
      <c r="E23" s="373">
        <v>20483.915040786436</v>
      </c>
      <c r="F23" s="375">
        <v>871445.7401676625</v>
      </c>
      <c r="G23" s="373">
        <v>114495.80398935861</v>
      </c>
      <c r="H23" s="374">
        <v>114495.80398935861</v>
      </c>
      <c r="I23" s="51">
        <f t="shared" si="0"/>
        <v>0</v>
      </c>
      <c r="J23" s="51"/>
      <c r="K23" s="376">
        <f t="shared" ref="K23:K28" si="8">G23</f>
        <v>114495.80398935861</v>
      </c>
      <c r="L23" s="53">
        <f t="shared" si="7"/>
        <v>0</v>
      </c>
      <c r="M23" s="376">
        <f t="shared" ref="M23:M28" si="9">H23</f>
        <v>114495.80398935861</v>
      </c>
      <c r="N23" s="53">
        <f t="shared" si="4"/>
        <v>0</v>
      </c>
      <c r="O23" s="53">
        <f t="shared" si="5"/>
        <v>0</v>
      </c>
      <c r="P23" s="1"/>
      <c r="R23" s="1"/>
      <c r="S23" s="1"/>
      <c r="T23" s="1"/>
      <c r="U23" s="1"/>
    </row>
    <row r="24" spans="2:21">
      <c r="B24" t="str">
        <f t="shared" si="6"/>
        <v/>
      </c>
      <c r="C24" s="49">
        <f>IF(D11="","-",+C23+1)</f>
        <v>2017</v>
      </c>
      <c r="D24" s="375">
        <v>871445.7401676625</v>
      </c>
      <c r="E24" s="373">
        <v>19382.334130313378</v>
      </c>
      <c r="F24" s="375">
        <v>852063.40603734914</v>
      </c>
      <c r="G24" s="373">
        <v>114123.60807449113</v>
      </c>
      <c r="H24" s="374">
        <v>114123.60807449113</v>
      </c>
      <c r="I24" s="51">
        <f t="shared" si="0"/>
        <v>0</v>
      </c>
      <c r="J24" s="51"/>
      <c r="K24" s="376">
        <f t="shared" si="8"/>
        <v>114123.60807449113</v>
      </c>
      <c r="L24" s="53">
        <f t="shared" si="7"/>
        <v>0</v>
      </c>
      <c r="M24" s="376">
        <f t="shared" si="9"/>
        <v>114123.60807449113</v>
      </c>
      <c r="N24" s="53">
        <f>IF(M24&lt;&gt;0,+H24-M24,0)</f>
        <v>0</v>
      </c>
      <c r="O24" s="53">
        <f>+N24-L24</f>
        <v>0</v>
      </c>
      <c r="P24" s="1"/>
      <c r="R24" s="1"/>
      <c r="S24" s="1"/>
      <c r="T24" s="1"/>
      <c r="U24" s="1"/>
    </row>
    <row r="25" spans="2:21">
      <c r="B25" t="str">
        <f t="shared" si="6"/>
        <v/>
      </c>
      <c r="C25" s="49">
        <f>IF(D11="","-",+C24+1)</f>
        <v>2018</v>
      </c>
      <c r="D25" s="375">
        <v>852063.40603734914</v>
      </c>
      <c r="E25" s="373">
        <v>24175.777145778226</v>
      </c>
      <c r="F25" s="375">
        <v>827887.62889157096</v>
      </c>
      <c r="G25" s="373">
        <v>109537.1548251974</v>
      </c>
      <c r="H25" s="374">
        <v>109537.1548251974</v>
      </c>
      <c r="I25" s="51">
        <f t="shared" si="0"/>
        <v>0</v>
      </c>
      <c r="J25" s="51"/>
      <c r="K25" s="376">
        <f t="shared" si="8"/>
        <v>109537.1548251974</v>
      </c>
      <c r="L25" s="53">
        <f t="shared" si="7"/>
        <v>0</v>
      </c>
      <c r="M25" s="376">
        <f t="shared" si="9"/>
        <v>109537.1548251974</v>
      </c>
      <c r="N25" s="53">
        <f>IF(M25&lt;&gt;0,+H25-M25,0)</f>
        <v>0</v>
      </c>
      <c r="O25" s="53">
        <f>+N25-L25</f>
        <v>0</v>
      </c>
      <c r="P25" s="1"/>
      <c r="R25" s="1"/>
      <c r="S25" s="1"/>
      <c r="T25" s="1"/>
      <c r="U25" s="1"/>
    </row>
    <row r="26" spans="2:21">
      <c r="B26" t="str">
        <f t="shared" si="6"/>
        <v/>
      </c>
      <c r="C26" s="49">
        <f>IF(D11="","-",+C25+1)</f>
        <v>2019</v>
      </c>
      <c r="D26" s="375">
        <v>827887.62889157096</v>
      </c>
      <c r="E26" s="373">
        <v>29237.019226400858</v>
      </c>
      <c r="F26" s="375">
        <v>798650.60966517008</v>
      </c>
      <c r="G26" s="373">
        <v>113764.92954880837</v>
      </c>
      <c r="H26" s="374">
        <v>113764.92954880837</v>
      </c>
      <c r="I26" s="51">
        <f t="shared" si="0"/>
        <v>0</v>
      </c>
      <c r="J26" s="51"/>
      <c r="K26" s="376">
        <f t="shared" si="8"/>
        <v>113764.92954880837</v>
      </c>
      <c r="L26" s="53">
        <f t="shared" ref="L26" si="10">IF(K26&lt;&gt;0,+G26-K26,0)</f>
        <v>0</v>
      </c>
      <c r="M26" s="376">
        <f t="shared" si="9"/>
        <v>113764.92954880837</v>
      </c>
      <c r="N26" s="53">
        <f>IF(M26&lt;&gt;0,+H26-M26,0)</f>
        <v>0</v>
      </c>
      <c r="O26" s="53">
        <f>+N26-L26</f>
        <v>0</v>
      </c>
      <c r="P26" s="1"/>
      <c r="R26" s="1"/>
      <c r="S26" s="1"/>
      <c r="T26" s="1"/>
      <c r="U26" s="1"/>
    </row>
    <row r="27" spans="2:21">
      <c r="B27" t="str">
        <f t="shared" si="6"/>
        <v>IU</v>
      </c>
      <c r="C27" s="49">
        <f>IF(D11="","-",+C26+1)</f>
        <v>2020</v>
      </c>
      <c r="D27" s="375">
        <v>803711.85174579278</v>
      </c>
      <c r="E27" s="373">
        <v>28865.315662076879</v>
      </c>
      <c r="F27" s="375">
        <v>774846.53608371585</v>
      </c>
      <c r="G27" s="373">
        <v>111686.32809259798</v>
      </c>
      <c r="H27" s="374">
        <v>111686.32809259798</v>
      </c>
      <c r="I27" s="51">
        <f t="shared" si="0"/>
        <v>0</v>
      </c>
      <c r="J27" s="51"/>
      <c r="K27" s="376">
        <f t="shared" si="8"/>
        <v>111686.32809259798</v>
      </c>
      <c r="L27" s="53">
        <f t="shared" ref="L27" si="11">IF(K27&lt;&gt;0,+G27-K27,0)</f>
        <v>0</v>
      </c>
      <c r="M27" s="376">
        <f t="shared" si="9"/>
        <v>111686.32809259798</v>
      </c>
      <c r="N27" s="53">
        <f t="shared" si="4"/>
        <v>0</v>
      </c>
      <c r="O27" s="53">
        <f t="shared" si="5"/>
        <v>0</v>
      </c>
      <c r="P27" s="1"/>
      <c r="R27" s="1"/>
      <c r="S27" s="1"/>
      <c r="T27" s="1"/>
      <c r="U27" s="1"/>
    </row>
    <row r="28" spans="2:21">
      <c r="B28" t="str">
        <f t="shared" si="6"/>
        <v>IU</v>
      </c>
      <c r="C28" s="49">
        <f>IF(D11="","-",+C27+1)</f>
        <v>2021</v>
      </c>
      <c r="D28" s="375">
        <v>769785.29400309315</v>
      </c>
      <c r="E28" s="373">
        <v>31799.269032258064</v>
      </c>
      <c r="F28" s="375">
        <v>737986.02497083507</v>
      </c>
      <c r="G28" s="373">
        <v>113358.4397541738</v>
      </c>
      <c r="H28" s="374">
        <v>113358.4397541738</v>
      </c>
      <c r="I28" s="51">
        <f t="shared" si="0"/>
        <v>0</v>
      </c>
      <c r="J28" s="51"/>
      <c r="K28" s="376">
        <f t="shared" si="8"/>
        <v>113358.4397541738</v>
      </c>
      <c r="L28" s="53">
        <f t="shared" ref="L28" si="12">IF(K28&lt;&gt;0,+G28-K28,0)</f>
        <v>0</v>
      </c>
      <c r="M28" s="376">
        <f t="shared" si="9"/>
        <v>113358.4397541738</v>
      </c>
      <c r="N28" s="53">
        <f t="shared" si="4"/>
        <v>0</v>
      </c>
      <c r="O28" s="53">
        <f t="shared" si="5"/>
        <v>0</v>
      </c>
      <c r="P28" s="1"/>
      <c r="R28" s="1"/>
      <c r="S28" s="1"/>
      <c r="T28" s="1"/>
      <c r="U28" s="1"/>
    </row>
    <row r="29" spans="2:21">
      <c r="B29" t="str">
        <f t="shared" si="6"/>
        <v/>
      </c>
      <c r="C29" s="49">
        <f>IF(D11="","-",+C28+1)</f>
        <v>2022</v>
      </c>
      <c r="D29" s="375">
        <v>737986.02497083507</v>
      </c>
      <c r="E29" s="373">
        <v>29872.040606060604</v>
      </c>
      <c r="F29" s="375">
        <v>708113.98436477443</v>
      </c>
      <c r="G29" s="373">
        <v>112848.37260844371</v>
      </c>
      <c r="H29" s="374">
        <v>112848.37260844371</v>
      </c>
      <c r="I29" s="51">
        <f t="shared" si="0"/>
        <v>0</v>
      </c>
      <c r="J29" s="51"/>
      <c r="K29" s="376">
        <f t="shared" ref="K29" si="13">G29</f>
        <v>112848.37260844371</v>
      </c>
      <c r="L29" s="53">
        <f t="shared" ref="L29" si="14">IF(K29&lt;&gt;0,+G29-K29,0)</f>
        <v>0</v>
      </c>
      <c r="M29" s="376">
        <f t="shared" ref="M29" si="15">H29</f>
        <v>112848.37260844371</v>
      </c>
      <c r="N29" s="53">
        <f t="shared" si="4"/>
        <v>0</v>
      </c>
      <c r="O29" s="53">
        <f t="shared" si="5"/>
        <v>0</v>
      </c>
      <c r="P29" s="1"/>
      <c r="R29" s="1"/>
      <c r="S29" s="1"/>
      <c r="T29" s="1"/>
      <c r="U29" s="1"/>
    </row>
    <row r="30" spans="2:21">
      <c r="B30" t="str">
        <f t="shared" si="6"/>
        <v>IU</v>
      </c>
      <c r="C30" s="49">
        <f>IF(D11="","-",+C29+1)</f>
        <v>2023</v>
      </c>
      <c r="D30" s="375">
        <v>708113.64436477446</v>
      </c>
      <c r="E30" s="373">
        <v>31799.258064516129</v>
      </c>
      <c r="F30" s="375">
        <v>676314.38630025834</v>
      </c>
      <c r="G30" s="373">
        <v>110042.1845135639</v>
      </c>
      <c r="H30" s="374">
        <v>110042.1845135639</v>
      </c>
      <c r="I30" s="51">
        <f t="shared" si="0"/>
        <v>0</v>
      </c>
      <c r="J30" s="51"/>
      <c r="K30" s="376">
        <f t="shared" ref="K30" si="16">G30</f>
        <v>110042.1845135639</v>
      </c>
      <c r="L30" s="53">
        <f t="shared" ref="L30" si="17">IF(K30&lt;&gt;0,+G30-K30,0)</f>
        <v>0</v>
      </c>
      <c r="M30" s="376">
        <f t="shared" ref="M30" si="18">H30</f>
        <v>110042.1845135639</v>
      </c>
      <c r="N30" s="53">
        <f t="shared" si="4"/>
        <v>0</v>
      </c>
      <c r="O30" s="53">
        <f t="shared" si="5"/>
        <v>0</v>
      </c>
      <c r="P30" s="1"/>
      <c r="R30" s="1"/>
      <c r="S30" s="1"/>
      <c r="T30" s="1"/>
      <c r="U30" s="1"/>
    </row>
    <row r="31" spans="2:21">
      <c r="B31" t="str">
        <f t="shared" si="6"/>
        <v/>
      </c>
      <c r="C31" s="49">
        <f>IF(D11="","-",+C30+1)</f>
        <v>2024</v>
      </c>
      <c r="D31" s="375">
        <v>676314.38630025834</v>
      </c>
      <c r="E31" s="373">
        <v>31799.258064516129</v>
      </c>
      <c r="F31" s="375">
        <v>644515.12823574222</v>
      </c>
      <c r="G31" s="373">
        <v>107041.38991809898</v>
      </c>
      <c r="H31" s="374">
        <v>107041.38991809898</v>
      </c>
      <c r="I31" s="51">
        <f t="shared" si="0"/>
        <v>0</v>
      </c>
      <c r="J31" s="51"/>
      <c r="K31" s="376">
        <f t="shared" ref="K31" si="19">G31</f>
        <v>107041.38991809898</v>
      </c>
      <c r="L31" s="53">
        <f t="shared" ref="L31" si="20">IF(K31&lt;&gt;0,+G31-K31,0)</f>
        <v>0</v>
      </c>
      <c r="M31" s="376">
        <f t="shared" ref="M31" si="21">H31</f>
        <v>107041.38991809898</v>
      </c>
      <c r="N31" s="53">
        <f t="shared" ref="N31" si="22">IF(M31&lt;&gt;0,+H31-M31,0)</f>
        <v>0</v>
      </c>
      <c r="O31" s="53">
        <f t="shared" ref="O31" si="23">+N31-L31</f>
        <v>0</v>
      </c>
      <c r="P31" s="1"/>
      <c r="R31" s="1"/>
      <c r="S31" s="1"/>
      <c r="T31" s="1"/>
      <c r="U31" s="1"/>
    </row>
    <row r="32" spans="2:21">
      <c r="B32" t="str">
        <f t="shared" si="6"/>
        <v/>
      </c>
      <c r="C32" s="49">
        <f>IF(D12="","-",+C31+1)</f>
        <v>2025</v>
      </c>
      <c r="D32" s="375">
        <v>644515.12823574222</v>
      </c>
      <c r="E32" s="373">
        <v>32859.23333333333</v>
      </c>
      <c r="F32" s="375">
        <v>611655.89490240894</v>
      </c>
      <c r="G32" s="373">
        <v>104743.57453431052</v>
      </c>
      <c r="H32" s="374">
        <v>104743.57453431052</v>
      </c>
      <c r="I32" s="51">
        <f>H32-G32</f>
        <v>0</v>
      </c>
      <c r="J32" s="51"/>
      <c r="K32" s="376">
        <f t="shared" ref="K32" si="24">G32</f>
        <v>104743.57453431052</v>
      </c>
      <c r="L32" s="53">
        <f t="shared" ref="L32" si="25">IF(K32&lt;&gt;0,+G32-K32,0)</f>
        <v>0</v>
      </c>
      <c r="M32" s="376">
        <f t="shared" ref="M32" si="26">H32</f>
        <v>104743.57453431052</v>
      </c>
      <c r="N32" s="53">
        <f t="shared" ref="N32" si="27">IF(M32&lt;&gt;0,+H32-M32,0)</f>
        <v>0</v>
      </c>
      <c r="O32" s="53"/>
      <c r="P32" s="1"/>
      <c r="R32" s="1"/>
      <c r="S32" s="1"/>
      <c r="T32" s="1"/>
      <c r="U32" s="1"/>
    </row>
    <row r="33" spans="2:21">
      <c r="B33" t="str">
        <f t="shared" si="6"/>
        <v/>
      </c>
      <c r="C33" s="49">
        <f>IF(D13="","-",+C32+1)</f>
        <v>2026</v>
      </c>
      <c r="D33" s="54">
        <f>IF(F32+SUM(E$17:E32)=D$10,F32,D$10-SUM(E$17:E32))</f>
        <v>611655.89490240894</v>
      </c>
      <c r="E33" s="377">
        <f>IF(+I14&lt;F31,I14,D33)</f>
        <v>32859.23333333333</v>
      </c>
      <c r="F33" s="54">
        <f t="shared" ref="F33:F49" si="28">+D33-E33</f>
        <v>578796.66156907566</v>
      </c>
      <c r="G33" s="378">
        <f t="shared" ref="G33:G73" si="29">(D33+F33)/2*I$12+E33</f>
        <v>100982.83766484354</v>
      </c>
      <c r="H33" s="359">
        <f t="shared" ref="H33:H73" si="30">+(D33+F33)/2*I$13+E33</f>
        <v>100982.83766484354</v>
      </c>
      <c r="I33" s="51">
        <f t="shared" si="0"/>
        <v>0</v>
      </c>
      <c r="J33" s="51"/>
      <c r="K33" s="112"/>
      <c r="L33" s="53">
        <f t="shared" si="2"/>
        <v>0</v>
      </c>
      <c r="M33" s="112"/>
      <c r="N33" s="53">
        <f t="shared" si="4"/>
        <v>0</v>
      </c>
      <c r="O33" s="53">
        <f t="shared" si="5"/>
        <v>0</v>
      </c>
      <c r="P33" s="1"/>
      <c r="R33" s="1"/>
      <c r="S33" s="1"/>
      <c r="T33" s="1"/>
      <c r="U33" s="1"/>
    </row>
    <row r="34" spans="2:21">
      <c r="B34" t="str">
        <f t="shared" si="6"/>
        <v/>
      </c>
      <c r="C34" s="379">
        <f>IF(D11="","-",+C33+1)</f>
        <v>2027</v>
      </c>
      <c r="D34" s="411">
        <f>IF(F33+SUM(E$17:E33)=D$10,F33,D$10-SUM(E$17:E33))</f>
        <v>578796.66156907566</v>
      </c>
      <c r="E34" s="381">
        <f>IF(+I14&lt;F33,I14,D34)</f>
        <v>32859.23333333333</v>
      </c>
      <c r="F34" s="380">
        <f t="shared" si="28"/>
        <v>545937.42823574238</v>
      </c>
      <c r="G34" s="382">
        <f t="shared" si="29"/>
        <v>97222.100795376551</v>
      </c>
      <c r="H34" s="383">
        <f t="shared" si="30"/>
        <v>97222.100795376551</v>
      </c>
      <c r="I34" s="384">
        <f t="shared" si="0"/>
        <v>0</v>
      </c>
      <c r="J34" s="384"/>
      <c r="K34" s="385"/>
      <c r="L34" s="386">
        <f t="shared" si="2"/>
        <v>0</v>
      </c>
      <c r="M34" s="385"/>
      <c r="N34" s="386">
        <f t="shared" si="4"/>
        <v>0</v>
      </c>
      <c r="O34" s="386">
        <f t="shared" si="5"/>
        <v>0</v>
      </c>
      <c r="P34" s="387"/>
      <c r="Q34" s="187"/>
      <c r="R34" s="387"/>
      <c r="S34" s="387"/>
      <c r="T34" s="387"/>
      <c r="U34" s="1"/>
    </row>
    <row r="35" spans="2:21">
      <c r="B35" t="str">
        <f t="shared" si="6"/>
        <v/>
      </c>
      <c r="C35" s="49">
        <f>IF(D11="","-",+C34+1)</f>
        <v>2028</v>
      </c>
      <c r="D35" s="54">
        <f>IF(F34+SUM(E$17:E34)=D$10,F34,D$10-SUM(E$17:E34))</f>
        <v>545937.42823574238</v>
      </c>
      <c r="E35" s="377">
        <f>IF(+I14&lt;F34,I14,D35)</f>
        <v>32859.23333333333</v>
      </c>
      <c r="F35" s="54">
        <f t="shared" si="28"/>
        <v>513078.19490240904</v>
      </c>
      <c r="G35" s="378">
        <f t="shared" si="29"/>
        <v>93461.363925909565</v>
      </c>
      <c r="H35" s="359">
        <f t="shared" si="30"/>
        <v>93461.363925909565</v>
      </c>
      <c r="I35" s="51">
        <f t="shared" si="0"/>
        <v>0</v>
      </c>
      <c r="J35" s="51"/>
      <c r="K35" s="112"/>
      <c r="L35" s="53">
        <f t="shared" si="2"/>
        <v>0</v>
      </c>
      <c r="M35" s="112"/>
      <c r="N35" s="53">
        <f t="shared" si="4"/>
        <v>0</v>
      </c>
      <c r="O35" s="53">
        <f t="shared" si="5"/>
        <v>0</v>
      </c>
      <c r="P35" s="1"/>
      <c r="R35" s="1"/>
      <c r="S35" s="1"/>
      <c r="T35" s="1"/>
      <c r="U35" s="1"/>
    </row>
    <row r="36" spans="2:21">
      <c r="B36" t="str">
        <f t="shared" si="6"/>
        <v/>
      </c>
      <c r="C36" s="49">
        <f>IF(D11="","-",+C35+1)</f>
        <v>2029</v>
      </c>
      <c r="D36" s="54">
        <f>IF(F35+SUM(E$17:E35)=D$10,F35,D$10-SUM(E$17:E35))</f>
        <v>513078.19490240904</v>
      </c>
      <c r="E36" s="377">
        <f>IF(+I14&lt;F35,I14,D36)</f>
        <v>32859.23333333333</v>
      </c>
      <c r="F36" s="54">
        <f t="shared" si="28"/>
        <v>480218.96156907571</v>
      </c>
      <c r="G36" s="378">
        <f t="shared" si="29"/>
        <v>89700.627056442579</v>
      </c>
      <c r="H36" s="359">
        <f t="shared" si="30"/>
        <v>89700.627056442579</v>
      </c>
      <c r="I36" s="51">
        <f t="shared" si="0"/>
        <v>0</v>
      </c>
      <c r="J36" s="51"/>
      <c r="K36" s="112"/>
      <c r="L36" s="53">
        <f t="shared" si="2"/>
        <v>0</v>
      </c>
      <c r="M36" s="112"/>
      <c r="N36" s="53">
        <f t="shared" si="4"/>
        <v>0</v>
      </c>
      <c r="O36" s="53">
        <f t="shared" si="5"/>
        <v>0</v>
      </c>
      <c r="P36" s="1"/>
      <c r="R36" s="1"/>
      <c r="S36" s="1"/>
      <c r="T36" s="1"/>
      <c r="U36" s="1"/>
    </row>
    <row r="37" spans="2:21">
      <c r="B37" t="str">
        <f t="shared" si="6"/>
        <v/>
      </c>
      <c r="C37" s="49">
        <f>IF(D11="","-",+C36+1)</f>
        <v>2030</v>
      </c>
      <c r="D37" s="54">
        <f>IF(F36+SUM(E$17:E36)=D$10,F36,D$10-SUM(E$17:E36))</f>
        <v>480218.96156907571</v>
      </c>
      <c r="E37" s="377">
        <f>IF(+I14&lt;F36,I14,D37)</f>
        <v>32859.23333333333</v>
      </c>
      <c r="F37" s="54">
        <f t="shared" si="28"/>
        <v>447359.72823574237</v>
      </c>
      <c r="G37" s="378">
        <f t="shared" si="29"/>
        <v>85939.890186975594</v>
      </c>
      <c r="H37" s="359">
        <f t="shared" si="30"/>
        <v>85939.890186975594</v>
      </c>
      <c r="I37" s="51">
        <f t="shared" si="0"/>
        <v>0</v>
      </c>
      <c r="J37" s="51"/>
      <c r="K37" s="112"/>
      <c r="L37" s="53">
        <f t="shared" si="2"/>
        <v>0</v>
      </c>
      <c r="M37" s="112"/>
      <c r="N37" s="53">
        <f t="shared" si="4"/>
        <v>0</v>
      </c>
      <c r="O37" s="53">
        <f t="shared" si="5"/>
        <v>0</v>
      </c>
      <c r="P37" s="1"/>
      <c r="R37" s="1"/>
      <c r="S37" s="1"/>
      <c r="T37" s="1"/>
      <c r="U37" s="1"/>
    </row>
    <row r="38" spans="2:21">
      <c r="B38" t="str">
        <f t="shared" si="6"/>
        <v/>
      </c>
      <c r="C38" s="49">
        <f>IF(D11="","-",+C37+1)</f>
        <v>2031</v>
      </c>
      <c r="D38" s="54">
        <f>IF(F37+SUM(E$17:E37)=D$10,F37,D$10-SUM(E$17:E37))</f>
        <v>447359.72823574237</v>
      </c>
      <c r="E38" s="377">
        <f>IF(+I14&lt;F37,I14,D38)</f>
        <v>32859.23333333333</v>
      </c>
      <c r="F38" s="54">
        <f t="shared" si="28"/>
        <v>414500.49490240903</v>
      </c>
      <c r="G38" s="378">
        <f t="shared" si="29"/>
        <v>82179.153317508608</v>
      </c>
      <c r="H38" s="359">
        <f t="shared" si="30"/>
        <v>82179.153317508608</v>
      </c>
      <c r="I38" s="51">
        <f t="shared" si="0"/>
        <v>0</v>
      </c>
      <c r="J38" s="51"/>
      <c r="K38" s="112"/>
      <c r="L38" s="53">
        <f t="shared" si="2"/>
        <v>0</v>
      </c>
      <c r="M38" s="112"/>
      <c r="N38" s="53">
        <f t="shared" si="4"/>
        <v>0</v>
      </c>
      <c r="O38" s="53">
        <f t="shared" si="5"/>
        <v>0</v>
      </c>
      <c r="P38" s="1"/>
      <c r="R38" s="1"/>
      <c r="S38" s="1"/>
      <c r="T38" s="1"/>
      <c r="U38" s="1"/>
    </row>
    <row r="39" spans="2:21">
      <c r="B39" t="str">
        <f t="shared" si="6"/>
        <v/>
      </c>
      <c r="C39" s="49">
        <f>IF(D11="","-",+C38+1)</f>
        <v>2032</v>
      </c>
      <c r="D39" s="54">
        <f>IF(F38+SUM(E$17:E38)=D$10,F38,D$10-SUM(E$17:E38))</f>
        <v>414500.49490240903</v>
      </c>
      <c r="E39" s="377">
        <f>IF(+I14&lt;F38,I14,D39)</f>
        <v>32859.23333333333</v>
      </c>
      <c r="F39" s="54">
        <f t="shared" si="28"/>
        <v>381641.26156907569</v>
      </c>
      <c r="G39" s="378">
        <f t="shared" si="29"/>
        <v>78418.416448041622</v>
      </c>
      <c r="H39" s="359">
        <f t="shared" si="30"/>
        <v>78418.416448041622</v>
      </c>
      <c r="I39" s="51">
        <f t="shared" si="0"/>
        <v>0</v>
      </c>
      <c r="J39" s="51"/>
      <c r="K39" s="112"/>
      <c r="L39" s="53">
        <f t="shared" si="2"/>
        <v>0</v>
      </c>
      <c r="M39" s="112"/>
      <c r="N39" s="53">
        <f t="shared" si="4"/>
        <v>0</v>
      </c>
      <c r="O39" s="53">
        <f t="shared" si="5"/>
        <v>0</v>
      </c>
      <c r="P39" s="1"/>
      <c r="R39" s="1"/>
      <c r="S39" s="1"/>
      <c r="T39" s="1"/>
      <c r="U39" s="1"/>
    </row>
    <row r="40" spans="2:21">
      <c r="B40" t="str">
        <f t="shared" si="6"/>
        <v/>
      </c>
      <c r="C40" s="49">
        <f>IF(D11="","-",+C39+1)</f>
        <v>2033</v>
      </c>
      <c r="D40" s="54">
        <f>IF(F39+SUM(E$17:E39)=D$10,F39,D$10-SUM(E$17:E39))</f>
        <v>381641.26156907569</v>
      </c>
      <c r="E40" s="377">
        <f>IF(+I14&lt;F39,I14,D40)</f>
        <v>32859.23333333333</v>
      </c>
      <c r="F40" s="54">
        <f t="shared" si="28"/>
        <v>348782.02823574236</v>
      </c>
      <c r="G40" s="378">
        <f t="shared" si="29"/>
        <v>74657.679578574636</v>
      </c>
      <c r="H40" s="359">
        <f t="shared" si="30"/>
        <v>74657.679578574636</v>
      </c>
      <c r="I40" s="51">
        <f t="shared" si="0"/>
        <v>0</v>
      </c>
      <c r="J40" s="51"/>
      <c r="K40" s="112"/>
      <c r="L40" s="53">
        <f t="shared" si="2"/>
        <v>0</v>
      </c>
      <c r="M40" s="112"/>
      <c r="N40" s="53">
        <f t="shared" si="4"/>
        <v>0</v>
      </c>
      <c r="O40" s="53">
        <f t="shared" si="5"/>
        <v>0</v>
      </c>
      <c r="P40" s="1"/>
      <c r="R40" s="1"/>
      <c r="S40" s="1"/>
      <c r="T40" s="1"/>
      <c r="U40" s="1"/>
    </row>
    <row r="41" spans="2:21">
      <c r="B41" t="str">
        <f t="shared" si="6"/>
        <v/>
      </c>
      <c r="C41" s="49">
        <f>IF(D12="","-",+C40+1)</f>
        <v>2034</v>
      </c>
      <c r="D41" s="54">
        <f>IF(F40+SUM(E$17:E40)=D$10,F40,D$10-SUM(E$17:E40))</f>
        <v>348782.02823574236</v>
      </c>
      <c r="E41" s="377">
        <f>IF(+I14&lt;F40,I14,D41)</f>
        <v>32859.23333333333</v>
      </c>
      <c r="F41" s="54">
        <f t="shared" si="28"/>
        <v>315922.79490240902</v>
      </c>
      <c r="G41" s="378">
        <f t="shared" si="29"/>
        <v>70896.94270910765</v>
      </c>
      <c r="H41" s="359">
        <f t="shared" si="30"/>
        <v>70896.94270910765</v>
      </c>
      <c r="I41" s="51">
        <f t="shared" si="0"/>
        <v>0</v>
      </c>
      <c r="J41" s="51"/>
      <c r="K41" s="112"/>
      <c r="L41" s="53">
        <f t="shared" si="2"/>
        <v>0</v>
      </c>
      <c r="M41" s="112"/>
      <c r="N41" s="53">
        <f t="shared" si="4"/>
        <v>0</v>
      </c>
      <c r="O41" s="53">
        <f t="shared" si="5"/>
        <v>0</v>
      </c>
      <c r="P41" s="1"/>
      <c r="R41" s="1"/>
      <c r="S41" s="1"/>
      <c r="T41" s="1"/>
      <c r="U41" s="1"/>
    </row>
    <row r="42" spans="2:21">
      <c r="B42" t="str">
        <f t="shared" si="6"/>
        <v/>
      </c>
      <c r="C42" s="49">
        <f>IF(D13="","-",+C41+1)</f>
        <v>2035</v>
      </c>
      <c r="D42" s="54">
        <f>IF(F41+SUM(E$17:E41)=D$10,F41,D$10-SUM(E$17:E41))</f>
        <v>315922.79490240902</v>
      </c>
      <c r="E42" s="377">
        <f>IF(+I14&lt;F41,I14,D42)</f>
        <v>32859.23333333333</v>
      </c>
      <c r="F42" s="54">
        <f t="shared" si="28"/>
        <v>283063.56156907568</v>
      </c>
      <c r="G42" s="378">
        <f t="shared" si="29"/>
        <v>67136.205839640665</v>
      </c>
      <c r="H42" s="359">
        <f t="shared" si="30"/>
        <v>67136.205839640665</v>
      </c>
      <c r="I42" s="51">
        <f t="shared" si="0"/>
        <v>0</v>
      </c>
      <c r="J42" s="51"/>
      <c r="K42" s="112"/>
      <c r="L42" s="53">
        <f t="shared" si="2"/>
        <v>0</v>
      </c>
      <c r="M42" s="112"/>
      <c r="N42" s="53">
        <f t="shared" si="4"/>
        <v>0</v>
      </c>
      <c r="O42" s="53">
        <f t="shared" si="5"/>
        <v>0</v>
      </c>
      <c r="P42" s="1"/>
      <c r="R42" s="1"/>
      <c r="S42" s="1"/>
      <c r="T42" s="1"/>
      <c r="U42" s="1"/>
    </row>
    <row r="43" spans="2:21">
      <c r="B43" t="str">
        <f t="shared" si="6"/>
        <v/>
      </c>
      <c r="C43" s="49">
        <f>IF(D11="","-",+C42+1)</f>
        <v>2036</v>
      </c>
      <c r="D43" s="54">
        <f>IF(F42+SUM(E$17:E42)=D$10,F42,D$10-SUM(E$17:E42))</f>
        <v>283063.56156907568</v>
      </c>
      <c r="E43" s="377">
        <f>IF(+I14&lt;F42,I14,D43)</f>
        <v>32859.23333333333</v>
      </c>
      <c r="F43" s="54">
        <f t="shared" si="28"/>
        <v>250204.32823574234</v>
      </c>
      <c r="G43" s="378">
        <f t="shared" si="29"/>
        <v>63375.468970173664</v>
      </c>
      <c r="H43" s="359">
        <f t="shared" si="30"/>
        <v>63375.468970173664</v>
      </c>
      <c r="I43" s="51">
        <f t="shared" si="0"/>
        <v>0</v>
      </c>
      <c r="J43" s="51"/>
      <c r="K43" s="112"/>
      <c r="L43" s="53">
        <f t="shared" si="2"/>
        <v>0</v>
      </c>
      <c r="M43" s="112"/>
      <c r="N43" s="53">
        <f t="shared" si="4"/>
        <v>0</v>
      </c>
      <c r="O43" s="53">
        <f t="shared" si="5"/>
        <v>0</v>
      </c>
      <c r="P43" s="1"/>
      <c r="R43" s="1"/>
      <c r="S43" s="1"/>
      <c r="T43" s="1"/>
      <c r="U43" s="1"/>
    </row>
    <row r="44" spans="2:21">
      <c r="B44" t="str">
        <f t="shared" si="6"/>
        <v/>
      </c>
      <c r="C44" s="49">
        <f>IF(D11="","-",+C43+1)</f>
        <v>2037</v>
      </c>
      <c r="D44" s="54">
        <f>IF(F43+SUM(E$17:E43)=D$10,F43,D$10-SUM(E$17:E43))</f>
        <v>250204.32823574234</v>
      </c>
      <c r="E44" s="377">
        <f>IF(+I14&lt;F43,I14,D44)</f>
        <v>32859.23333333333</v>
      </c>
      <c r="F44" s="54">
        <f t="shared" si="28"/>
        <v>217345.09490240901</v>
      </c>
      <c r="G44" s="378">
        <f t="shared" si="29"/>
        <v>59614.732100706686</v>
      </c>
      <c r="H44" s="359">
        <f t="shared" si="30"/>
        <v>59614.732100706686</v>
      </c>
      <c r="I44" s="51">
        <f t="shared" si="0"/>
        <v>0</v>
      </c>
      <c r="J44" s="51"/>
      <c r="K44" s="112"/>
      <c r="L44" s="53">
        <f t="shared" si="2"/>
        <v>0</v>
      </c>
      <c r="M44" s="112"/>
      <c r="N44" s="53">
        <f t="shared" si="4"/>
        <v>0</v>
      </c>
      <c r="O44" s="53">
        <f t="shared" si="5"/>
        <v>0</v>
      </c>
      <c r="P44" s="1"/>
      <c r="R44" s="1"/>
      <c r="S44" s="1"/>
      <c r="T44" s="1"/>
      <c r="U44" s="1"/>
    </row>
    <row r="45" spans="2:21">
      <c r="B45" t="str">
        <f t="shared" si="6"/>
        <v/>
      </c>
      <c r="C45" s="49">
        <f>IF(D11="","-",+C44+1)</f>
        <v>2038</v>
      </c>
      <c r="D45" s="54">
        <f>IF(F44+SUM(E$17:E44)=D$10,F44,D$10-SUM(E$17:E44))</f>
        <v>217345.09490240901</v>
      </c>
      <c r="E45" s="377">
        <f>IF(+I14&lt;F44,I14,D45)</f>
        <v>32859.23333333333</v>
      </c>
      <c r="F45" s="54">
        <f t="shared" si="28"/>
        <v>184485.86156907567</v>
      </c>
      <c r="G45" s="378">
        <f t="shared" si="29"/>
        <v>55853.995231239693</v>
      </c>
      <c r="H45" s="359">
        <f t="shared" si="30"/>
        <v>55853.995231239693</v>
      </c>
      <c r="I45" s="51">
        <f t="shared" si="0"/>
        <v>0</v>
      </c>
      <c r="J45" s="51"/>
      <c r="K45" s="112"/>
      <c r="L45" s="53">
        <f t="shared" si="2"/>
        <v>0</v>
      </c>
      <c r="M45" s="112"/>
      <c r="N45" s="53">
        <f t="shared" si="4"/>
        <v>0</v>
      </c>
      <c r="O45" s="53">
        <f t="shared" si="5"/>
        <v>0</v>
      </c>
      <c r="P45" s="1"/>
      <c r="R45" s="1"/>
      <c r="S45" s="1"/>
      <c r="T45" s="1"/>
      <c r="U45" s="1"/>
    </row>
    <row r="46" spans="2:21">
      <c r="B46" t="str">
        <f t="shared" si="6"/>
        <v/>
      </c>
      <c r="C46" s="49">
        <f>IF(D11="","-",+C45+1)</f>
        <v>2039</v>
      </c>
      <c r="D46" s="54">
        <f>IF(F45+SUM(E$17:E45)=D$10,F45,D$10-SUM(E$17:E45))</f>
        <v>184485.86156907567</v>
      </c>
      <c r="E46" s="377">
        <f>IF(+I14&lt;F45,I14,D46)</f>
        <v>32859.23333333333</v>
      </c>
      <c r="F46" s="54">
        <f t="shared" si="28"/>
        <v>151626.62823574233</v>
      </c>
      <c r="G46" s="378">
        <f t="shared" si="29"/>
        <v>52093.258361772707</v>
      </c>
      <c r="H46" s="359">
        <f t="shared" si="30"/>
        <v>52093.258361772707</v>
      </c>
      <c r="I46" s="51">
        <f t="shared" si="0"/>
        <v>0</v>
      </c>
      <c r="J46" s="51"/>
      <c r="K46" s="112"/>
      <c r="L46" s="53">
        <f t="shared" si="2"/>
        <v>0</v>
      </c>
      <c r="M46" s="112"/>
      <c r="N46" s="53">
        <f t="shared" si="4"/>
        <v>0</v>
      </c>
      <c r="O46" s="53">
        <f t="shared" si="5"/>
        <v>0</v>
      </c>
      <c r="P46" s="1"/>
      <c r="R46" s="1"/>
      <c r="S46" s="1"/>
      <c r="T46" s="1"/>
      <c r="U46" s="1"/>
    </row>
    <row r="47" spans="2:21">
      <c r="B47" t="str">
        <f t="shared" si="6"/>
        <v/>
      </c>
      <c r="C47" s="49">
        <f>IF(D11="","-",+C46+1)</f>
        <v>2040</v>
      </c>
      <c r="D47" s="54">
        <f>IF(F46+SUM(E$17:E46)=D$10,F46,D$10-SUM(E$17:E46))</f>
        <v>151626.62823574233</v>
      </c>
      <c r="E47" s="377">
        <f>IF(+I14&lt;F46,I14,D47)</f>
        <v>32859.23333333333</v>
      </c>
      <c r="F47" s="54">
        <f t="shared" si="28"/>
        <v>118767.394902409</v>
      </c>
      <c r="G47" s="378">
        <f t="shared" si="29"/>
        <v>48332.521492305721</v>
      </c>
      <c r="H47" s="359">
        <f t="shared" si="30"/>
        <v>48332.521492305721</v>
      </c>
      <c r="I47" s="51">
        <f t="shared" si="0"/>
        <v>0</v>
      </c>
      <c r="J47" s="51"/>
      <c r="K47" s="112"/>
      <c r="L47" s="53">
        <f t="shared" si="2"/>
        <v>0</v>
      </c>
      <c r="M47" s="112"/>
      <c r="N47" s="53">
        <f t="shared" si="4"/>
        <v>0</v>
      </c>
      <c r="O47" s="53">
        <f t="shared" si="5"/>
        <v>0</v>
      </c>
      <c r="P47" s="1"/>
      <c r="R47" s="1"/>
      <c r="S47" s="1"/>
      <c r="T47" s="1"/>
      <c r="U47" s="1"/>
    </row>
    <row r="48" spans="2:21">
      <c r="B48" t="str">
        <f t="shared" si="6"/>
        <v/>
      </c>
      <c r="C48" s="49">
        <f>IF(D11="","-",+C47+1)</f>
        <v>2041</v>
      </c>
      <c r="D48" s="54">
        <f>IF(F47+SUM(E$17:E47)=D$10,F47,D$10-SUM(E$17:E47))</f>
        <v>118767.394902409</v>
      </c>
      <c r="E48" s="377">
        <f>IF(+I14&lt;F47,I14,D48)</f>
        <v>32859.23333333333</v>
      </c>
      <c r="F48" s="54">
        <f t="shared" si="28"/>
        <v>85908.161569075659</v>
      </c>
      <c r="G48" s="378">
        <f t="shared" si="29"/>
        <v>44571.784622838735</v>
      </c>
      <c r="H48" s="359">
        <f t="shared" si="30"/>
        <v>44571.784622838735</v>
      </c>
      <c r="I48" s="51">
        <f t="shared" si="0"/>
        <v>0</v>
      </c>
      <c r="J48" s="51"/>
      <c r="K48" s="112"/>
      <c r="L48" s="53">
        <f t="shared" si="2"/>
        <v>0</v>
      </c>
      <c r="M48" s="112"/>
      <c r="N48" s="53">
        <f t="shared" si="4"/>
        <v>0</v>
      </c>
      <c r="O48" s="53">
        <f t="shared" si="5"/>
        <v>0</v>
      </c>
      <c r="P48" s="1"/>
      <c r="R48" s="1"/>
      <c r="S48" s="1"/>
      <c r="T48" s="1"/>
      <c r="U48" s="1"/>
    </row>
    <row r="49" spans="2:21">
      <c r="B49" t="str">
        <f t="shared" si="6"/>
        <v>IU</v>
      </c>
      <c r="C49" s="49">
        <f>IF(D11="","-",+C48+1)</f>
        <v>2042</v>
      </c>
      <c r="D49" s="54">
        <f>IF(F48+SUM(E$17:E48)=D$10,F48,D$10-SUM(E$17:E48))</f>
        <v>85908.161569076241</v>
      </c>
      <c r="E49" s="377">
        <f>IF(+I14&lt;F48,I14,D49)</f>
        <v>32859.23333333333</v>
      </c>
      <c r="F49" s="54">
        <f t="shared" si="28"/>
        <v>53048.928235742911</v>
      </c>
      <c r="G49" s="378">
        <f t="shared" si="29"/>
        <v>40811.047753371815</v>
      </c>
      <c r="H49" s="359">
        <f t="shared" si="30"/>
        <v>40811.047753371815</v>
      </c>
      <c r="I49" s="51">
        <f t="shared" si="0"/>
        <v>0</v>
      </c>
      <c r="J49" s="51"/>
      <c r="K49" s="112"/>
      <c r="L49" s="53">
        <f t="shared" si="2"/>
        <v>0</v>
      </c>
      <c r="M49" s="112"/>
      <c r="N49" s="53">
        <f t="shared" si="4"/>
        <v>0</v>
      </c>
      <c r="O49" s="53">
        <f t="shared" si="5"/>
        <v>0</v>
      </c>
      <c r="P49" s="1"/>
      <c r="R49" s="1"/>
      <c r="S49" s="1"/>
      <c r="T49" s="1"/>
      <c r="U49" s="1"/>
    </row>
    <row r="50" spans="2:21">
      <c r="B50" t="str">
        <f t="shared" si="6"/>
        <v/>
      </c>
      <c r="C50" s="49">
        <f>IF(D11="","-",+C49+1)</f>
        <v>2043</v>
      </c>
      <c r="D50" s="54">
        <f>IF(F49+SUM(E$17:E49)=D$10,F49,D$10-SUM(E$17:E49))</f>
        <v>53048.928235742911</v>
      </c>
      <c r="E50" s="377">
        <f>IF(+I14&lt;F49,I14,D50)</f>
        <v>32859.23333333333</v>
      </c>
      <c r="F50" s="54">
        <f t="shared" ref="F50:F73" si="31">+D50-E50</f>
        <v>20189.694902409581</v>
      </c>
      <c r="G50" s="378">
        <f t="shared" si="29"/>
        <v>37050.310883904829</v>
      </c>
      <c r="H50" s="359">
        <f t="shared" si="30"/>
        <v>37050.310883904829</v>
      </c>
      <c r="I50" s="51">
        <f t="shared" ref="I50:I73" si="32">H50-G50</f>
        <v>0</v>
      </c>
      <c r="J50" s="51"/>
      <c r="K50" s="112"/>
      <c r="L50" s="53">
        <f t="shared" ref="L50:L73" si="33">IF(K50&lt;&gt;0,+G50-K50,0)</f>
        <v>0</v>
      </c>
      <c r="M50" s="112"/>
      <c r="N50" s="53">
        <f t="shared" ref="N50:N73" si="34">IF(M50&lt;&gt;0,+H50-M50,0)</f>
        <v>0</v>
      </c>
      <c r="O50" s="53">
        <f t="shared" ref="O50:O73" si="35">+N50-L50</f>
        <v>0</v>
      </c>
      <c r="P50" s="1"/>
      <c r="R50" s="1"/>
      <c r="S50" s="1"/>
      <c r="T50" s="1"/>
      <c r="U50" s="1"/>
    </row>
    <row r="51" spans="2:21">
      <c r="B51" t="str">
        <f t="shared" si="6"/>
        <v/>
      </c>
      <c r="C51" s="49">
        <f>IF(D11="","-",+C50+1)</f>
        <v>2044</v>
      </c>
      <c r="D51" s="54">
        <f>IF(F50+SUM(E$17:E50)=D$10,F50,D$10-SUM(E$17:E50))</f>
        <v>20189.694902409581</v>
      </c>
      <c r="E51" s="377">
        <f>IF(+I14&lt;F50,I14,D51)</f>
        <v>20189.694902409581</v>
      </c>
      <c r="F51" s="54">
        <f t="shared" si="31"/>
        <v>0</v>
      </c>
      <c r="G51" s="378">
        <f t="shared" si="29"/>
        <v>21345.049460328584</v>
      </c>
      <c r="H51" s="359">
        <f t="shared" si="30"/>
        <v>21345.049460328584</v>
      </c>
      <c r="I51" s="51">
        <f t="shared" si="32"/>
        <v>0</v>
      </c>
      <c r="J51" s="51"/>
      <c r="K51" s="112"/>
      <c r="L51" s="53">
        <f t="shared" si="33"/>
        <v>0</v>
      </c>
      <c r="M51" s="112"/>
      <c r="N51" s="53">
        <f t="shared" si="34"/>
        <v>0</v>
      </c>
      <c r="O51" s="53">
        <f t="shared" si="35"/>
        <v>0</v>
      </c>
      <c r="P51" s="1"/>
      <c r="R51" s="1"/>
      <c r="S51" s="1"/>
      <c r="T51" s="1"/>
      <c r="U51" s="1"/>
    </row>
    <row r="52" spans="2:21">
      <c r="B52" t="str">
        <f t="shared" si="6"/>
        <v/>
      </c>
      <c r="C52" s="49">
        <f>IF(D11="","-",+C51+1)</f>
        <v>2045</v>
      </c>
      <c r="D52" s="54">
        <f>IF(F51+SUM(E$17:E51)=D$10,F51,D$10-SUM(E$17:E51))</f>
        <v>0</v>
      </c>
      <c r="E52" s="377">
        <f>IF(+I14&lt;F51,I14,D52)</f>
        <v>0</v>
      </c>
      <c r="F52" s="54">
        <f t="shared" si="31"/>
        <v>0</v>
      </c>
      <c r="G52" s="378">
        <f t="shared" si="29"/>
        <v>0</v>
      </c>
      <c r="H52" s="359">
        <f t="shared" si="30"/>
        <v>0</v>
      </c>
      <c r="I52" s="51">
        <f t="shared" si="32"/>
        <v>0</v>
      </c>
      <c r="J52" s="51"/>
      <c r="K52" s="112"/>
      <c r="L52" s="53">
        <f t="shared" si="33"/>
        <v>0</v>
      </c>
      <c r="M52" s="112"/>
      <c r="N52" s="53">
        <f t="shared" si="34"/>
        <v>0</v>
      </c>
      <c r="O52" s="53">
        <f t="shared" si="35"/>
        <v>0</v>
      </c>
      <c r="P52" s="1"/>
      <c r="R52" s="1"/>
      <c r="S52" s="1"/>
      <c r="T52" s="1"/>
      <c r="U52" s="1"/>
    </row>
    <row r="53" spans="2:21">
      <c r="B53" t="str">
        <f t="shared" si="6"/>
        <v/>
      </c>
      <c r="C53" s="49">
        <f>IF(D11="","-",+C52+1)</f>
        <v>2046</v>
      </c>
      <c r="D53" s="54">
        <f>IF(F52+SUM(E$17:E52)=D$10,F52,D$10-SUM(E$17:E52))</f>
        <v>0</v>
      </c>
      <c r="E53" s="377">
        <f>IF(+I14&lt;F52,I14,D53)</f>
        <v>0</v>
      </c>
      <c r="F53" s="54">
        <f t="shared" si="31"/>
        <v>0</v>
      </c>
      <c r="G53" s="378">
        <f t="shared" si="29"/>
        <v>0</v>
      </c>
      <c r="H53" s="359">
        <f t="shared" si="30"/>
        <v>0</v>
      </c>
      <c r="I53" s="51">
        <f t="shared" si="32"/>
        <v>0</v>
      </c>
      <c r="J53" s="51"/>
      <c r="K53" s="112"/>
      <c r="L53" s="53">
        <f t="shared" si="33"/>
        <v>0</v>
      </c>
      <c r="M53" s="112"/>
      <c r="N53" s="53">
        <f t="shared" si="34"/>
        <v>0</v>
      </c>
      <c r="O53" s="53">
        <f t="shared" si="35"/>
        <v>0</v>
      </c>
      <c r="P53" s="1"/>
      <c r="R53" s="1"/>
      <c r="S53" s="1"/>
      <c r="T53" s="1"/>
      <c r="U53" s="1"/>
    </row>
    <row r="54" spans="2:21">
      <c r="B54" t="str">
        <f t="shared" si="6"/>
        <v/>
      </c>
      <c r="C54" s="49">
        <f>IF(D11="","-",+C53+1)</f>
        <v>2047</v>
      </c>
      <c r="D54" s="54">
        <f>IF(F53+SUM(E$17:E53)=D$10,F53,D$10-SUM(E$17:E53))</f>
        <v>0</v>
      </c>
      <c r="E54" s="377">
        <f>IF(+I14&lt;F53,I14,D54)</f>
        <v>0</v>
      </c>
      <c r="F54" s="54">
        <f t="shared" si="31"/>
        <v>0</v>
      </c>
      <c r="G54" s="378">
        <f t="shared" si="29"/>
        <v>0</v>
      </c>
      <c r="H54" s="359">
        <f t="shared" si="30"/>
        <v>0</v>
      </c>
      <c r="I54" s="51">
        <f t="shared" si="32"/>
        <v>0</v>
      </c>
      <c r="J54" s="51"/>
      <c r="K54" s="112"/>
      <c r="L54" s="53">
        <f t="shared" si="33"/>
        <v>0</v>
      </c>
      <c r="M54" s="112"/>
      <c r="N54" s="53">
        <f t="shared" si="34"/>
        <v>0</v>
      </c>
      <c r="O54" s="53">
        <f t="shared" si="35"/>
        <v>0</v>
      </c>
      <c r="P54" s="1"/>
      <c r="R54" s="1"/>
      <c r="S54" s="1"/>
      <c r="T54" s="1"/>
      <c r="U54" s="1"/>
    </row>
    <row r="55" spans="2:21">
      <c r="B55" t="str">
        <f t="shared" si="6"/>
        <v/>
      </c>
      <c r="C55" s="49">
        <f>IF(D11="","-",+C54+1)</f>
        <v>2048</v>
      </c>
      <c r="D55" s="54">
        <f>IF(F54+SUM(E$17:E54)=D$10,F54,D$10-SUM(E$17:E54))</f>
        <v>0</v>
      </c>
      <c r="E55" s="377">
        <f>IF(+I14&lt;F54,I14,D55)</f>
        <v>0</v>
      </c>
      <c r="F55" s="54">
        <f t="shared" si="31"/>
        <v>0</v>
      </c>
      <c r="G55" s="378">
        <f t="shared" si="29"/>
        <v>0</v>
      </c>
      <c r="H55" s="359">
        <f t="shared" si="30"/>
        <v>0</v>
      </c>
      <c r="I55" s="51">
        <f t="shared" si="32"/>
        <v>0</v>
      </c>
      <c r="J55" s="51"/>
      <c r="K55" s="112"/>
      <c r="L55" s="53">
        <f t="shared" si="33"/>
        <v>0</v>
      </c>
      <c r="M55" s="112"/>
      <c r="N55" s="53">
        <f t="shared" si="34"/>
        <v>0</v>
      </c>
      <c r="O55" s="53">
        <f t="shared" si="35"/>
        <v>0</v>
      </c>
      <c r="P55" s="1"/>
      <c r="R55" s="1"/>
      <c r="S55" s="1"/>
      <c r="T55" s="1"/>
      <c r="U55" s="1"/>
    </row>
    <row r="56" spans="2:21">
      <c r="B56" t="str">
        <f t="shared" si="6"/>
        <v/>
      </c>
      <c r="C56" s="49">
        <f>IF(D11="","-",+C55+1)</f>
        <v>2049</v>
      </c>
      <c r="D56" s="54">
        <f>IF(F55+SUM(E$17:E55)=D$10,F55,D$10-SUM(E$17:E55))</f>
        <v>0</v>
      </c>
      <c r="E56" s="377">
        <f>IF(+I14&lt;F55,I14,D56)</f>
        <v>0</v>
      </c>
      <c r="F56" s="54">
        <f t="shared" si="31"/>
        <v>0</v>
      </c>
      <c r="G56" s="378">
        <f t="shared" si="29"/>
        <v>0</v>
      </c>
      <c r="H56" s="359">
        <f t="shared" si="30"/>
        <v>0</v>
      </c>
      <c r="I56" s="51">
        <f t="shared" si="32"/>
        <v>0</v>
      </c>
      <c r="J56" s="51"/>
      <c r="K56" s="112"/>
      <c r="L56" s="53">
        <f t="shared" si="33"/>
        <v>0</v>
      </c>
      <c r="M56" s="112"/>
      <c r="N56" s="53">
        <f t="shared" si="34"/>
        <v>0</v>
      </c>
      <c r="O56" s="53">
        <f t="shared" si="35"/>
        <v>0</v>
      </c>
      <c r="P56" s="1"/>
      <c r="R56" s="1"/>
      <c r="S56" s="1"/>
      <c r="T56" s="1"/>
      <c r="U56" s="1"/>
    </row>
    <row r="57" spans="2:21">
      <c r="B57" t="str">
        <f t="shared" si="6"/>
        <v/>
      </c>
      <c r="C57" s="49">
        <f>IF(D11="","-",+C56+1)</f>
        <v>2050</v>
      </c>
      <c r="D57" s="54">
        <f>IF(F56+SUM(E$17:E56)=D$10,F56,D$10-SUM(E$17:E56))</f>
        <v>0</v>
      </c>
      <c r="E57" s="377">
        <f>IF(+I14&lt;F56,I14,D57)</f>
        <v>0</v>
      </c>
      <c r="F57" s="54">
        <f t="shared" si="31"/>
        <v>0</v>
      </c>
      <c r="G57" s="378">
        <f t="shared" si="29"/>
        <v>0</v>
      </c>
      <c r="H57" s="359">
        <f t="shared" si="30"/>
        <v>0</v>
      </c>
      <c r="I57" s="51">
        <f t="shared" si="32"/>
        <v>0</v>
      </c>
      <c r="J57" s="51"/>
      <c r="K57" s="112"/>
      <c r="L57" s="53">
        <f t="shared" si="33"/>
        <v>0</v>
      </c>
      <c r="M57" s="112"/>
      <c r="N57" s="53">
        <f t="shared" si="34"/>
        <v>0</v>
      </c>
      <c r="O57" s="53">
        <f t="shared" si="35"/>
        <v>0</v>
      </c>
      <c r="P57" s="1"/>
      <c r="R57" s="1"/>
      <c r="S57" s="1"/>
      <c r="T57" s="1"/>
      <c r="U57" s="1"/>
    </row>
    <row r="58" spans="2:21">
      <c r="B58" t="str">
        <f t="shared" si="6"/>
        <v/>
      </c>
      <c r="C58" s="49">
        <f>IF(D11="","-",+C57+1)</f>
        <v>2051</v>
      </c>
      <c r="D58" s="54">
        <f>IF(F57+SUM(E$17:E57)=D$10,F57,D$10-SUM(E$17:E57))</f>
        <v>0</v>
      </c>
      <c r="E58" s="377">
        <f>IF(+I14&lt;F57,I14,D58)</f>
        <v>0</v>
      </c>
      <c r="F58" s="54">
        <f t="shared" si="31"/>
        <v>0</v>
      </c>
      <c r="G58" s="378">
        <f t="shared" si="29"/>
        <v>0</v>
      </c>
      <c r="H58" s="359">
        <f t="shared" si="30"/>
        <v>0</v>
      </c>
      <c r="I58" s="51">
        <f t="shared" si="32"/>
        <v>0</v>
      </c>
      <c r="J58" s="51"/>
      <c r="K58" s="112"/>
      <c r="L58" s="53">
        <f t="shared" si="33"/>
        <v>0</v>
      </c>
      <c r="M58" s="112"/>
      <c r="N58" s="53">
        <f t="shared" si="34"/>
        <v>0</v>
      </c>
      <c r="O58" s="53">
        <f t="shared" si="35"/>
        <v>0</v>
      </c>
      <c r="P58" s="1"/>
      <c r="R58" s="1"/>
      <c r="S58" s="1"/>
      <c r="T58" s="1"/>
      <c r="U58" s="1"/>
    </row>
    <row r="59" spans="2:21">
      <c r="B59" t="str">
        <f t="shared" si="6"/>
        <v/>
      </c>
      <c r="C59" s="49">
        <f>IF(D11="","-",+C58+1)</f>
        <v>2052</v>
      </c>
      <c r="D59" s="54">
        <f>IF(F58+SUM(E$17:E58)=D$10,F58,D$10-SUM(E$17:E58))</f>
        <v>0</v>
      </c>
      <c r="E59" s="377">
        <f>IF(+I14&lt;F58,I14,D59)</f>
        <v>0</v>
      </c>
      <c r="F59" s="54">
        <f t="shared" si="31"/>
        <v>0</v>
      </c>
      <c r="G59" s="378">
        <f t="shared" si="29"/>
        <v>0</v>
      </c>
      <c r="H59" s="359">
        <f t="shared" si="30"/>
        <v>0</v>
      </c>
      <c r="I59" s="51">
        <f t="shared" si="32"/>
        <v>0</v>
      </c>
      <c r="J59" s="51"/>
      <c r="K59" s="112"/>
      <c r="L59" s="53">
        <f t="shared" si="33"/>
        <v>0</v>
      </c>
      <c r="M59" s="112"/>
      <c r="N59" s="53">
        <f t="shared" si="34"/>
        <v>0</v>
      </c>
      <c r="O59" s="53">
        <f t="shared" si="35"/>
        <v>0</v>
      </c>
      <c r="P59" s="1"/>
      <c r="R59" s="1"/>
      <c r="S59" s="1"/>
      <c r="T59" s="1"/>
      <c r="U59" s="1"/>
    </row>
    <row r="60" spans="2:21">
      <c r="B60" t="str">
        <f t="shared" si="6"/>
        <v/>
      </c>
      <c r="C60" s="49">
        <f>IF(D11="","-",+C59+1)</f>
        <v>2053</v>
      </c>
      <c r="D60" s="54">
        <f>IF(F59+SUM(E$17:E59)=D$10,F59,D$10-SUM(E$17:E59))</f>
        <v>0</v>
      </c>
      <c r="E60" s="377">
        <f>IF(+I14&lt;F59,I14,D60)</f>
        <v>0</v>
      </c>
      <c r="F60" s="54">
        <f t="shared" si="31"/>
        <v>0</v>
      </c>
      <c r="G60" s="378">
        <f t="shared" si="29"/>
        <v>0</v>
      </c>
      <c r="H60" s="359">
        <f t="shared" si="30"/>
        <v>0</v>
      </c>
      <c r="I60" s="51">
        <f t="shared" si="32"/>
        <v>0</v>
      </c>
      <c r="J60" s="51"/>
      <c r="K60" s="112"/>
      <c r="L60" s="53">
        <f t="shared" si="33"/>
        <v>0</v>
      </c>
      <c r="M60" s="112"/>
      <c r="N60" s="53">
        <f t="shared" si="34"/>
        <v>0</v>
      </c>
      <c r="O60" s="53">
        <f t="shared" si="35"/>
        <v>0</v>
      </c>
      <c r="P60" s="1"/>
      <c r="R60" s="1"/>
      <c r="S60" s="1"/>
      <c r="T60" s="1"/>
      <c r="U60" s="1"/>
    </row>
    <row r="61" spans="2:21">
      <c r="B61" t="str">
        <f t="shared" si="6"/>
        <v/>
      </c>
      <c r="C61" s="49">
        <f>IF(D11="","-",+C60+1)</f>
        <v>2054</v>
      </c>
      <c r="D61" s="54">
        <f>IF(F60+SUM(E$17:E60)=D$10,F60,D$10-SUM(E$17:E60))</f>
        <v>0</v>
      </c>
      <c r="E61" s="377">
        <f>IF(+I14&lt;F60,I14,D61)</f>
        <v>0</v>
      </c>
      <c r="F61" s="54">
        <f t="shared" si="31"/>
        <v>0</v>
      </c>
      <c r="G61" s="378">
        <f t="shared" si="29"/>
        <v>0</v>
      </c>
      <c r="H61" s="359">
        <f t="shared" si="30"/>
        <v>0</v>
      </c>
      <c r="I61" s="51">
        <f t="shared" si="32"/>
        <v>0</v>
      </c>
      <c r="J61" s="51"/>
      <c r="K61" s="112"/>
      <c r="L61" s="53">
        <f t="shared" si="33"/>
        <v>0</v>
      </c>
      <c r="M61" s="112"/>
      <c r="N61" s="53">
        <f t="shared" si="34"/>
        <v>0</v>
      </c>
      <c r="O61" s="53">
        <f t="shared" si="35"/>
        <v>0</v>
      </c>
      <c r="P61" s="1"/>
      <c r="R61" s="1"/>
      <c r="S61" s="1"/>
      <c r="T61" s="1"/>
      <c r="U61" s="1"/>
    </row>
    <row r="62" spans="2:21">
      <c r="B62" t="str">
        <f t="shared" si="6"/>
        <v/>
      </c>
      <c r="C62" s="49">
        <f>IF(D11="","-",+C61+1)</f>
        <v>2055</v>
      </c>
      <c r="D62" s="54">
        <f>IF(F61+SUM(E$17:E61)=D$10,F61,D$10-SUM(E$17:E61))</f>
        <v>0</v>
      </c>
      <c r="E62" s="377">
        <f>IF(+I14&lt;F61,I14,D62)</f>
        <v>0</v>
      </c>
      <c r="F62" s="54">
        <f t="shared" si="31"/>
        <v>0</v>
      </c>
      <c r="G62" s="388">
        <f t="shared" si="29"/>
        <v>0</v>
      </c>
      <c r="H62" s="359">
        <f t="shared" si="30"/>
        <v>0</v>
      </c>
      <c r="I62" s="51">
        <f t="shared" si="32"/>
        <v>0</v>
      </c>
      <c r="J62" s="51"/>
      <c r="K62" s="112"/>
      <c r="L62" s="53">
        <f t="shared" si="33"/>
        <v>0</v>
      </c>
      <c r="M62" s="112"/>
      <c r="N62" s="53">
        <f t="shared" si="34"/>
        <v>0</v>
      </c>
      <c r="O62" s="53">
        <f t="shared" si="35"/>
        <v>0</v>
      </c>
      <c r="P62" s="1"/>
      <c r="R62" s="1"/>
      <c r="S62" s="1"/>
      <c r="T62" s="1"/>
      <c r="U62" s="1"/>
    </row>
    <row r="63" spans="2:21">
      <c r="B63" t="str">
        <f t="shared" si="6"/>
        <v/>
      </c>
      <c r="C63" s="49">
        <f>IF(D11="","-",+C62+1)</f>
        <v>2056</v>
      </c>
      <c r="D63" s="54">
        <f>IF(F62+SUM(E$17:E62)=D$10,F62,D$10-SUM(E$17:E62))</f>
        <v>0</v>
      </c>
      <c r="E63" s="377">
        <f>IF(+I14&lt;F62,I14,D63)</f>
        <v>0</v>
      </c>
      <c r="F63" s="54">
        <f t="shared" si="31"/>
        <v>0</v>
      </c>
      <c r="G63" s="388">
        <f t="shared" si="29"/>
        <v>0</v>
      </c>
      <c r="H63" s="359">
        <f t="shared" si="30"/>
        <v>0</v>
      </c>
      <c r="I63" s="51">
        <f t="shared" si="32"/>
        <v>0</v>
      </c>
      <c r="J63" s="51"/>
      <c r="K63" s="112"/>
      <c r="L63" s="53">
        <f t="shared" si="33"/>
        <v>0</v>
      </c>
      <c r="M63" s="112"/>
      <c r="N63" s="53">
        <f t="shared" si="34"/>
        <v>0</v>
      </c>
      <c r="O63" s="53">
        <f t="shared" si="35"/>
        <v>0</v>
      </c>
      <c r="P63" s="1"/>
      <c r="R63" s="1"/>
      <c r="S63" s="1"/>
      <c r="T63" s="1"/>
      <c r="U63" s="1"/>
    </row>
    <row r="64" spans="2:21">
      <c r="B64" t="str">
        <f t="shared" si="6"/>
        <v/>
      </c>
      <c r="C64" s="49">
        <f>IF(D11="","-",+C63+1)</f>
        <v>2057</v>
      </c>
      <c r="D64" s="54">
        <f>IF(F63+SUM(E$17:E63)=D$10,F63,D$10-SUM(E$17:E63))</f>
        <v>0</v>
      </c>
      <c r="E64" s="377">
        <f>IF(+I14&lt;F63,I14,D64)</f>
        <v>0</v>
      </c>
      <c r="F64" s="54">
        <f t="shared" si="31"/>
        <v>0</v>
      </c>
      <c r="G64" s="388">
        <f t="shared" si="29"/>
        <v>0</v>
      </c>
      <c r="H64" s="359">
        <f t="shared" si="30"/>
        <v>0</v>
      </c>
      <c r="I64" s="51">
        <f t="shared" si="32"/>
        <v>0</v>
      </c>
      <c r="J64" s="51"/>
      <c r="K64" s="112"/>
      <c r="L64" s="53">
        <f t="shared" si="33"/>
        <v>0</v>
      </c>
      <c r="M64" s="112"/>
      <c r="N64" s="53">
        <f t="shared" si="34"/>
        <v>0</v>
      </c>
      <c r="O64" s="53">
        <f t="shared" si="35"/>
        <v>0</v>
      </c>
      <c r="P64" s="1"/>
      <c r="R64" s="1"/>
      <c r="S64" s="1"/>
      <c r="T64" s="1"/>
      <c r="U64" s="1"/>
    </row>
    <row r="65" spans="2:21">
      <c r="B65" t="str">
        <f t="shared" si="6"/>
        <v/>
      </c>
      <c r="C65" s="49">
        <f>IF(D11="","-",+C64+1)</f>
        <v>2058</v>
      </c>
      <c r="D65" s="54">
        <f>IF(F64+SUM(E$17:E64)=D$10,F64,D$10-SUM(E$17:E64))</f>
        <v>0</v>
      </c>
      <c r="E65" s="377">
        <f>IF(+I14&lt;F64,I14,D65)</f>
        <v>0</v>
      </c>
      <c r="F65" s="54">
        <f t="shared" si="31"/>
        <v>0</v>
      </c>
      <c r="G65" s="388">
        <f t="shared" si="29"/>
        <v>0</v>
      </c>
      <c r="H65" s="359">
        <f t="shared" si="30"/>
        <v>0</v>
      </c>
      <c r="I65" s="51">
        <f t="shared" si="32"/>
        <v>0</v>
      </c>
      <c r="J65" s="51"/>
      <c r="K65" s="112"/>
      <c r="L65" s="53">
        <f t="shared" si="33"/>
        <v>0</v>
      </c>
      <c r="M65" s="112"/>
      <c r="N65" s="53">
        <f t="shared" si="34"/>
        <v>0</v>
      </c>
      <c r="O65" s="53">
        <f t="shared" si="35"/>
        <v>0</v>
      </c>
      <c r="P65" s="1"/>
      <c r="R65" s="1"/>
      <c r="S65" s="1"/>
      <c r="T65" s="1"/>
      <c r="U65" s="1"/>
    </row>
    <row r="66" spans="2:21">
      <c r="B66" t="str">
        <f t="shared" si="6"/>
        <v/>
      </c>
      <c r="C66" s="49">
        <f>IF(D11="","-",+C65+1)</f>
        <v>2059</v>
      </c>
      <c r="D66" s="54">
        <f>IF(F65+SUM(E$17:E65)=D$10,F65,D$10-SUM(E$17:E65))</f>
        <v>0</v>
      </c>
      <c r="E66" s="377">
        <f>IF(+I14&lt;F65,I14,D66)</f>
        <v>0</v>
      </c>
      <c r="F66" s="54">
        <f t="shared" si="31"/>
        <v>0</v>
      </c>
      <c r="G66" s="388">
        <f t="shared" si="29"/>
        <v>0</v>
      </c>
      <c r="H66" s="359">
        <f t="shared" si="30"/>
        <v>0</v>
      </c>
      <c r="I66" s="51">
        <f t="shared" si="32"/>
        <v>0</v>
      </c>
      <c r="J66" s="51"/>
      <c r="K66" s="112"/>
      <c r="L66" s="53">
        <f t="shared" si="33"/>
        <v>0</v>
      </c>
      <c r="M66" s="112"/>
      <c r="N66" s="53">
        <f t="shared" si="34"/>
        <v>0</v>
      </c>
      <c r="O66" s="53">
        <f t="shared" si="35"/>
        <v>0</v>
      </c>
      <c r="P66" s="1"/>
      <c r="R66" s="1"/>
      <c r="S66" s="1"/>
      <c r="T66" s="1"/>
      <c r="U66" s="1"/>
    </row>
    <row r="67" spans="2:21">
      <c r="B67" t="str">
        <f t="shared" si="6"/>
        <v/>
      </c>
      <c r="C67" s="49">
        <f>IF(D11="","-",+C66+1)</f>
        <v>2060</v>
      </c>
      <c r="D67" s="54">
        <f>IF(F66+SUM(E$17:E66)=D$10,F66,D$10-SUM(E$17:E66))</f>
        <v>0</v>
      </c>
      <c r="E67" s="377">
        <f>IF(+I14&lt;F66,I14,D67)</f>
        <v>0</v>
      </c>
      <c r="F67" s="54">
        <f t="shared" si="31"/>
        <v>0</v>
      </c>
      <c r="G67" s="388">
        <f t="shared" si="29"/>
        <v>0</v>
      </c>
      <c r="H67" s="359">
        <f t="shared" si="30"/>
        <v>0</v>
      </c>
      <c r="I67" s="51">
        <f t="shared" si="32"/>
        <v>0</v>
      </c>
      <c r="J67" s="51"/>
      <c r="K67" s="112"/>
      <c r="L67" s="53">
        <f t="shared" si="33"/>
        <v>0</v>
      </c>
      <c r="M67" s="112"/>
      <c r="N67" s="53">
        <f t="shared" si="34"/>
        <v>0</v>
      </c>
      <c r="O67" s="53">
        <f t="shared" si="35"/>
        <v>0</v>
      </c>
      <c r="P67" s="1"/>
      <c r="R67" s="1"/>
      <c r="S67" s="1"/>
      <c r="T67" s="1"/>
      <c r="U67" s="1"/>
    </row>
    <row r="68" spans="2:21">
      <c r="B68" t="str">
        <f t="shared" si="6"/>
        <v/>
      </c>
      <c r="C68" s="49">
        <f>IF(D11="","-",+C67+1)</f>
        <v>2061</v>
      </c>
      <c r="D68" s="54">
        <f>IF(F67+SUM(E$17:E67)=D$10,F67,D$10-SUM(E$17:E67))</f>
        <v>0</v>
      </c>
      <c r="E68" s="377">
        <f>IF(+I14&lt;F67,I14,D68)</f>
        <v>0</v>
      </c>
      <c r="F68" s="54">
        <f t="shared" si="31"/>
        <v>0</v>
      </c>
      <c r="G68" s="388">
        <f t="shared" si="29"/>
        <v>0</v>
      </c>
      <c r="H68" s="359">
        <f t="shared" si="30"/>
        <v>0</v>
      </c>
      <c r="I68" s="51">
        <f t="shared" si="32"/>
        <v>0</v>
      </c>
      <c r="J68" s="51"/>
      <c r="K68" s="112"/>
      <c r="L68" s="53">
        <f t="shared" si="33"/>
        <v>0</v>
      </c>
      <c r="M68" s="112"/>
      <c r="N68" s="53">
        <f t="shared" si="34"/>
        <v>0</v>
      </c>
      <c r="O68" s="53">
        <f t="shared" si="35"/>
        <v>0</v>
      </c>
      <c r="P68" s="1"/>
      <c r="R68" s="1"/>
      <c r="S68" s="1"/>
      <c r="T68" s="1"/>
      <c r="U68" s="1"/>
    </row>
    <row r="69" spans="2:21">
      <c r="B69" t="str">
        <f t="shared" si="6"/>
        <v/>
      </c>
      <c r="C69" s="49">
        <f>IF(D11="","-",+C68+1)</f>
        <v>2062</v>
      </c>
      <c r="D69" s="54">
        <f>IF(F68+SUM(E$17:E68)=D$10,F68,D$10-SUM(E$17:E68))</f>
        <v>0</v>
      </c>
      <c r="E69" s="377">
        <f>IF(+I14&lt;F68,I14,D69)</f>
        <v>0</v>
      </c>
      <c r="F69" s="54">
        <f t="shared" si="31"/>
        <v>0</v>
      </c>
      <c r="G69" s="388">
        <f t="shared" si="29"/>
        <v>0</v>
      </c>
      <c r="H69" s="359">
        <f t="shared" si="30"/>
        <v>0</v>
      </c>
      <c r="I69" s="51">
        <f t="shared" si="32"/>
        <v>0</v>
      </c>
      <c r="J69" s="51"/>
      <c r="K69" s="112"/>
      <c r="L69" s="53">
        <f t="shared" si="33"/>
        <v>0</v>
      </c>
      <c r="M69" s="112"/>
      <c r="N69" s="53">
        <f t="shared" si="34"/>
        <v>0</v>
      </c>
      <c r="O69" s="53">
        <f t="shared" si="35"/>
        <v>0</v>
      </c>
      <c r="P69" s="1"/>
      <c r="R69" s="1"/>
      <c r="S69" s="1"/>
      <c r="T69" s="1"/>
      <c r="U69" s="1"/>
    </row>
    <row r="70" spans="2:21">
      <c r="B70" t="str">
        <f t="shared" si="6"/>
        <v/>
      </c>
      <c r="C70" s="49">
        <f>IF(D11="","-",+C69+1)</f>
        <v>2063</v>
      </c>
      <c r="D70" s="54">
        <f>IF(F69+SUM(E$17:E69)=D$10,F69,D$10-SUM(E$17:E69))</f>
        <v>0</v>
      </c>
      <c r="E70" s="377">
        <f>IF(+I14&lt;F69,I14,D70)</f>
        <v>0</v>
      </c>
      <c r="F70" s="54">
        <f t="shared" si="31"/>
        <v>0</v>
      </c>
      <c r="G70" s="388">
        <f t="shared" si="29"/>
        <v>0</v>
      </c>
      <c r="H70" s="359">
        <f t="shared" si="30"/>
        <v>0</v>
      </c>
      <c r="I70" s="51">
        <f t="shared" si="32"/>
        <v>0</v>
      </c>
      <c r="J70" s="51"/>
      <c r="K70" s="112"/>
      <c r="L70" s="53">
        <f t="shared" si="33"/>
        <v>0</v>
      </c>
      <c r="M70" s="112"/>
      <c r="N70" s="53">
        <f t="shared" si="34"/>
        <v>0</v>
      </c>
      <c r="O70" s="53">
        <f t="shared" si="35"/>
        <v>0</v>
      </c>
      <c r="P70" s="1"/>
      <c r="R70" s="1"/>
      <c r="S70" s="1"/>
      <c r="T70" s="1"/>
      <c r="U70" s="1"/>
    </row>
    <row r="71" spans="2:21">
      <c r="B71" t="str">
        <f t="shared" si="6"/>
        <v/>
      </c>
      <c r="C71" s="49">
        <f>IF(D11="","-",+C70+1)</f>
        <v>2064</v>
      </c>
      <c r="D71" s="54">
        <f>IF(F70+SUM(E$17:E70)=D$10,F70,D$10-SUM(E$17:E70))</f>
        <v>0</v>
      </c>
      <c r="E71" s="377">
        <f>IF(+I14&lt;F70,I14,D71)</f>
        <v>0</v>
      </c>
      <c r="F71" s="54">
        <f t="shared" si="31"/>
        <v>0</v>
      </c>
      <c r="G71" s="388">
        <f t="shared" si="29"/>
        <v>0</v>
      </c>
      <c r="H71" s="359">
        <f t="shared" si="30"/>
        <v>0</v>
      </c>
      <c r="I71" s="51">
        <f t="shared" si="32"/>
        <v>0</v>
      </c>
      <c r="J71" s="51"/>
      <c r="K71" s="112"/>
      <c r="L71" s="53">
        <f t="shared" si="33"/>
        <v>0</v>
      </c>
      <c r="M71" s="112"/>
      <c r="N71" s="53">
        <f t="shared" si="34"/>
        <v>0</v>
      </c>
      <c r="O71" s="53">
        <f t="shared" si="35"/>
        <v>0</v>
      </c>
      <c r="P71" s="1"/>
      <c r="R71" s="1"/>
      <c r="S71" s="1"/>
      <c r="T71" s="1"/>
      <c r="U71" s="1"/>
    </row>
    <row r="72" spans="2:21">
      <c r="B72" t="str">
        <f t="shared" si="6"/>
        <v/>
      </c>
      <c r="C72" s="49">
        <f>IF(D11="","-",+C71+1)</f>
        <v>2065</v>
      </c>
      <c r="D72" s="54">
        <f>IF(F71+SUM(E$17:E71)=D$10,F71,D$10-SUM(E$17:E71))</f>
        <v>0</v>
      </c>
      <c r="E72" s="377">
        <f>IF(+I14&lt;F71,I14,D72)</f>
        <v>0</v>
      </c>
      <c r="F72" s="54">
        <f t="shared" si="31"/>
        <v>0</v>
      </c>
      <c r="G72" s="388">
        <f t="shared" si="29"/>
        <v>0</v>
      </c>
      <c r="H72" s="359">
        <f t="shared" si="30"/>
        <v>0</v>
      </c>
      <c r="I72" s="51">
        <f t="shared" si="32"/>
        <v>0</v>
      </c>
      <c r="J72" s="51"/>
      <c r="K72" s="112"/>
      <c r="L72" s="53">
        <f t="shared" si="33"/>
        <v>0</v>
      </c>
      <c r="M72" s="112"/>
      <c r="N72" s="53">
        <f t="shared" si="34"/>
        <v>0</v>
      </c>
      <c r="O72" s="53">
        <f t="shared" si="35"/>
        <v>0</v>
      </c>
      <c r="P72" s="1"/>
      <c r="R72" s="1"/>
      <c r="S72" s="1"/>
      <c r="T72" s="1"/>
      <c r="U72" s="1"/>
    </row>
    <row r="73" spans="2:21" ht="13.5" thickBot="1">
      <c r="B73" t="str">
        <f t="shared" si="6"/>
        <v/>
      </c>
      <c r="C73" s="58">
        <f>IF(D11="","-",+C72+1)</f>
        <v>2066</v>
      </c>
      <c r="D73" s="59">
        <f>IF(F72+SUM(E$17:E72)=D$10,F72,D$10-SUM(E$17:E72))</f>
        <v>0</v>
      </c>
      <c r="E73" s="389">
        <f>IF(+I14&lt;F72,I14,D73)</f>
        <v>0</v>
      </c>
      <c r="F73" s="59">
        <f t="shared" si="31"/>
        <v>0</v>
      </c>
      <c r="G73" s="390">
        <f t="shared" si="29"/>
        <v>0</v>
      </c>
      <c r="H73" s="357">
        <f t="shared" si="30"/>
        <v>0</v>
      </c>
      <c r="I73" s="62">
        <f t="shared" si="32"/>
        <v>0</v>
      </c>
      <c r="J73" s="51"/>
      <c r="K73" s="113"/>
      <c r="L73" s="63">
        <f t="shared" si="33"/>
        <v>0</v>
      </c>
      <c r="M73" s="113"/>
      <c r="N73" s="63">
        <f t="shared" si="34"/>
        <v>0</v>
      </c>
      <c r="O73" s="63">
        <f t="shared" si="35"/>
        <v>0</v>
      </c>
      <c r="P73" s="1"/>
      <c r="R73" s="1"/>
      <c r="S73" s="1"/>
      <c r="T73" s="1"/>
      <c r="U73" s="1"/>
    </row>
    <row r="74" spans="2:21">
      <c r="C74" s="11" t="s">
        <v>75</v>
      </c>
      <c r="D74" s="242"/>
      <c r="E74" s="242">
        <f>SUM(E17:E73)</f>
        <v>985776.99999999988</v>
      </c>
      <c r="F74" s="242"/>
      <c r="G74" s="242">
        <f>SUM(G17:G73)</f>
        <v>3101195.742408725</v>
      </c>
      <c r="H74" s="242">
        <f>SUM(H17:H73)</f>
        <v>3101195.742408725</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2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104743.57453431052</v>
      </c>
      <c r="N88" s="396">
        <f>IF(J93&lt;D11,0,VLOOKUP(J93,C17:O73,11))</f>
        <v>104743.57453431052</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91896.537849645916</v>
      </c>
      <c r="N89" s="399">
        <f>IF(J93&lt;D11,0,VLOOKUP(J93,C100:P155,7))</f>
        <v>91896.537849645916</v>
      </c>
      <c r="O89" s="70">
        <f>+N89-M89</f>
        <v>0</v>
      </c>
      <c r="P89" s="1"/>
      <c r="Q89" s="1"/>
      <c r="R89" s="1"/>
      <c r="S89" s="1"/>
      <c r="T89" s="1"/>
      <c r="U89" s="1"/>
    </row>
    <row r="90" spans="1:21" ht="13.5" thickBot="1">
      <c r="C90" s="25" t="s">
        <v>82</v>
      </c>
      <c r="D90" s="96" t="str">
        <f>+D7</f>
        <v>Coffeyville T to Dearing 138 kV Rebuild - 1.1 miles</v>
      </c>
      <c r="E90" s="1"/>
      <c r="F90" s="1"/>
      <c r="G90" s="1"/>
      <c r="H90" s="1"/>
      <c r="I90" s="260"/>
      <c r="J90" s="260"/>
      <c r="K90" s="400"/>
      <c r="L90" s="109" t="s">
        <v>135</v>
      </c>
      <c r="M90" s="401">
        <f>+M89-M88</f>
        <v>-12847.036684664607</v>
      </c>
      <c r="N90" s="401">
        <f>+N89-N88</f>
        <v>-12847.036684664607</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tr">
        <f>+D9</f>
        <v>TP2008013</v>
      </c>
      <c r="E92" s="75" t="s">
        <v>319</v>
      </c>
      <c r="F92" s="527">
        <f>F9</f>
        <v>295</v>
      </c>
      <c r="G92" s="75"/>
      <c r="H92" s="75"/>
      <c r="I92" s="75"/>
      <c r="J92" s="75"/>
      <c r="Q92" s="1"/>
      <c r="R92" s="1"/>
      <c r="S92" s="1"/>
      <c r="T92" s="1"/>
      <c r="U92" s="1"/>
    </row>
    <row r="93" spans="1:21">
      <c r="C93" s="34" t="s">
        <v>49</v>
      </c>
      <c r="D93" s="358">
        <v>985777</v>
      </c>
      <c r="E93" s="1" t="s">
        <v>84</v>
      </c>
      <c r="H93" s="2"/>
      <c r="I93" s="2"/>
      <c r="J93" s="36">
        <f>+'OKT.WS.G.BPU.ATRR.True-up'!M16</f>
        <v>2025</v>
      </c>
      <c r="K93" s="33"/>
      <c r="L93" s="242" t="s">
        <v>85</v>
      </c>
      <c r="P93" s="1"/>
      <c r="Q93" s="1"/>
      <c r="R93" s="1"/>
      <c r="S93" s="1"/>
      <c r="T93" s="1"/>
      <c r="U93" s="1"/>
    </row>
    <row r="94" spans="1:21">
      <c r="C94" s="34" t="s">
        <v>52</v>
      </c>
      <c r="D94" s="85">
        <f>IF(D11=I10,"",D11)</f>
        <v>2010</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412">
        <f>IF(D11=I10,"",D12)</f>
        <v>6</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30805.53125</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0" t="s">
        <v>177</v>
      </c>
      <c r="M98" s="365" t="s">
        <v>89</v>
      </c>
      <c r="N98" s="360" t="s">
        <v>177</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B100" t="str">
        <f t="shared" ref="B100:B155" si="36">IF(D100=F99,"","IU")</f>
        <v>IU</v>
      </c>
      <c r="C100" s="49">
        <f>IF(D94= "","-",D94)</f>
        <v>2010</v>
      </c>
      <c r="D100" s="371">
        <v>0</v>
      </c>
      <c r="E100" s="373">
        <v>8464.310344827587</v>
      </c>
      <c r="F100" s="375">
        <v>973395.68965517241</v>
      </c>
      <c r="G100" s="406">
        <v>486697.8448275862</v>
      </c>
      <c r="H100" s="406">
        <v>173914.12278230567</v>
      </c>
      <c r="I100" s="406">
        <v>173914.12278230567</v>
      </c>
      <c r="J100" s="53">
        <f t="shared" ref="J100:J131" si="37">+I100-H100</f>
        <v>0</v>
      </c>
      <c r="K100" s="53"/>
      <c r="L100" s="376">
        <f t="shared" ref="L100:L105" si="38">H100</f>
        <v>173914.12278230567</v>
      </c>
      <c r="M100" s="53">
        <f>IF(L100&lt;&gt;0,+H100-L100,0)</f>
        <v>0</v>
      </c>
      <c r="N100" s="376">
        <f t="shared" ref="N100:N105" si="39">I100</f>
        <v>173914.12278230567</v>
      </c>
      <c r="O100" s="52">
        <f t="shared" ref="O100:O131" si="40">IF(N100&lt;&gt;0,+I100-N100,0)</f>
        <v>0</v>
      </c>
      <c r="P100" s="52">
        <f t="shared" ref="P100:P131" si="41">+O100-M100</f>
        <v>0</v>
      </c>
      <c r="Q100" s="1"/>
      <c r="R100" s="1"/>
      <c r="S100" s="1"/>
      <c r="T100" s="1"/>
      <c r="U100" s="1"/>
    </row>
    <row r="101" spans="1:21">
      <c r="B101" t="str">
        <f t="shared" si="36"/>
        <v/>
      </c>
      <c r="C101" s="49">
        <f>IF(D94="","-",+C100+1)</f>
        <v>2011</v>
      </c>
      <c r="D101" s="371">
        <v>973395.68965517241</v>
      </c>
      <c r="E101" s="373">
        <v>16996.161034482757</v>
      </c>
      <c r="F101" s="375">
        <v>956399.52862068964</v>
      </c>
      <c r="G101" s="375">
        <v>964897.60913793102</v>
      </c>
      <c r="H101" s="373">
        <v>88738.637904978968</v>
      </c>
      <c r="I101" s="374">
        <v>88738.637904978968</v>
      </c>
      <c r="J101" s="53">
        <v>0</v>
      </c>
      <c r="K101" s="53"/>
      <c r="L101" s="376">
        <f t="shared" si="38"/>
        <v>88738.637904978968</v>
      </c>
      <c r="M101" s="53">
        <f t="shared" ref="M101:M131" si="42">IF(L101&lt;&gt;0,+H101-L101,0)</f>
        <v>0</v>
      </c>
      <c r="N101" s="376">
        <f t="shared" si="39"/>
        <v>88738.637904978968</v>
      </c>
      <c r="O101" s="53">
        <f t="shared" si="40"/>
        <v>0</v>
      </c>
      <c r="P101" s="53">
        <f t="shared" si="41"/>
        <v>0</v>
      </c>
      <c r="Q101" s="1"/>
      <c r="R101" s="1"/>
      <c r="S101" s="1"/>
      <c r="T101" s="1"/>
      <c r="U101" s="1"/>
    </row>
    <row r="102" spans="1:21">
      <c r="B102" t="str">
        <f t="shared" si="36"/>
        <v>IU</v>
      </c>
      <c r="C102" s="49">
        <f>IF(D94="","-",+C101+1)</f>
        <v>2012</v>
      </c>
      <c r="D102" s="371">
        <v>960316.86862068961</v>
      </c>
      <c r="E102" s="373">
        <v>16996.161034482757</v>
      </c>
      <c r="F102" s="375">
        <v>943320.70758620685</v>
      </c>
      <c r="G102" s="375">
        <v>951818.78810344823</v>
      </c>
      <c r="H102" s="373">
        <v>113462.4664066085</v>
      </c>
      <c r="I102" s="374">
        <v>113462.4664066085</v>
      </c>
      <c r="J102" s="53">
        <v>0</v>
      </c>
      <c r="K102" s="53"/>
      <c r="L102" s="376">
        <f t="shared" si="38"/>
        <v>113462.4664066085</v>
      </c>
      <c r="M102" s="53">
        <f t="shared" ref="M102:M107" si="43">IF(L102&lt;&gt;0,+H102-L102,0)</f>
        <v>0</v>
      </c>
      <c r="N102" s="376">
        <f t="shared" si="39"/>
        <v>113462.4664066085</v>
      </c>
      <c r="O102" s="53">
        <f>IF(N102&lt;&gt;0,+I102-N102,0)</f>
        <v>0</v>
      </c>
      <c r="P102" s="53">
        <f>+O102-M102</f>
        <v>0</v>
      </c>
      <c r="Q102" s="1"/>
      <c r="R102" s="1"/>
      <c r="S102" s="1"/>
      <c r="T102" s="1"/>
      <c r="U102" s="1"/>
    </row>
    <row r="103" spans="1:21">
      <c r="B103" t="str">
        <f t="shared" si="36"/>
        <v/>
      </c>
      <c r="C103" s="49">
        <f>IF(D94="","-",+C102+1)</f>
        <v>2013</v>
      </c>
      <c r="D103" s="371">
        <v>943320.70758620685</v>
      </c>
      <c r="E103" s="373">
        <v>16996.161034482757</v>
      </c>
      <c r="F103" s="375">
        <v>926324.54655172408</v>
      </c>
      <c r="G103" s="375">
        <v>934822.62706896546</v>
      </c>
      <c r="H103" s="373">
        <v>123248.05893507614</v>
      </c>
      <c r="I103" s="374">
        <v>123248.05893507614</v>
      </c>
      <c r="J103" s="53">
        <v>0</v>
      </c>
      <c r="K103" s="53"/>
      <c r="L103" s="376">
        <f t="shared" si="38"/>
        <v>123248.05893507614</v>
      </c>
      <c r="M103" s="53">
        <f t="shared" si="43"/>
        <v>0</v>
      </c>
      <c r="N103" s="376">
        <f t="shared" si="39"/>
        <v>123248.05893507614</v>
      </c>
      <c r="O103" s="53">
        <f>IF(N103&lt;&gt;0,+I103-N103,0)</f>
        <v>0</v>
      </c>
      <c r="P103" s="53">
        <f>+O103-M103</f>
        <v>0</v>
      </c>
      <c r="Q103" s="1"/>
      <c r="R103" s="1"/>
      <c r="S103" s="1"/>
      <c r="T103" s="1"/>
      <c r="U103" s="1"/>
    </row>
    <row r="104" spans="1:21">
      <c r="B104" t="str">
        <f t="shared" si="36"/>
        <v/>
      </c>
      <c r="C104" s="49">
        <f>IF(D94="","-",+C103+1)</f>
        <v>2014</v>
      </c>
      <c r="D104" s="371">
        <v>926324.54655172408</v>
      </c>
      <c r="E104" s="373">
        <v>16996.161034482757</v>
      </c>
      <c r="F104" s="375">
        <v>909328.38551724132</v>
      </c>
      <c r="G104" s="375">
        <v>917826.4660344827</v>
      </c>
      <c r="H104" s="373">
        <v>115702.36527195803</v>
      </c>
      <c r="I104" s="374">
        <v>115702.36527195803</v>
      </c>
      <c r="J104" s="53">
        <v>0</v>
      </c>
      <c r="K104" s="53"/>
      <c r="L104" s="376">
        <f t="shared" si="38"/>
        <v>115702.36527195803</v>
      </c>
      <c r="M104" s="53">
        <f t="shared" si="43"/>
        <v>0</v>
      </c>
      <c r="N104" s="376">
        <f t="shared" si="39"/>
        <v>115702.36527195803</v>
      </c>
      <c r="O104" s="53">
        <f>IF(N104&lt;&gt;0,+I104-N104,0)</f>
        <v>0</v>
      </c>
      <c r="P104" s="53">
        <f>+O104-M104</f>
        <v>0</v>
      </c>
      <c r="Q104" s="1"/>
      <c r="R104" s="1"/>
      <c r="S104" s="1"/>
      <c r="T104" s="1"/>
      <c r="U104" s="1"/>
    </row>
    <row r="105" spans="1:21">
      <c r="B105" t="str">
        <f t="shared" si="36"/>
        <v/>
      </c>
      <c r="C105" s="49">
        <f>IF(D94="","-",+C104+1)</f>
        <v>2015</v>
      </c>
      <c r="D105" s="371">
        <v>909328.38551724132</v>
      </c>
      <c r="E105" s="373">
        <v>20537.027916666666</v>
      </c>
      <c r="F105" s="375">
        <v>888791.35760057461</v>
      </c>
      <c r="G105" s="375">
        <v>899059.87155890791</v>
      </c>
      <c r="H105" s="373">
        <v>120628.84968807173</v>
      </c>
      <c r="I105" s="374">
        <v>120628.84968807173</v>
      </c>
      <c r="J105" s="53">
        <f t="shared" si="37"/>
        <v>0</v>
      </c>
      <c r="K105" s="53"/>
      <c r="L105" s="376">
        <f t="shared" si="38"/>
        <v>120628.84968807173</v>
      </c>
      <c r="M105" s="53">
        <f t="shared" si="43"/>
        <v>0</v>
      </c>
      <c r="N105" s="376">
        <f t="shared" si="39"/>
        <v>120628.84968807173</v>
      </c>
      <c r="O105" s="53">
        <f t="shared" si="40"/>
        <v>0</v>
      </c>
      <c r="P105" s="53">
        <f t="shared" si="41"/>
        <v>0</v>
      </c>
      <c r="Q105" s="1"/>
      <c r="R105" s="1"/>
      <c r="S105" s="1"/>
      <c r="T105" s="1"/>
      <c r="U105" s="1"/>
    </row>
    <row r="106" spans="1:21">
      <c r="B106" t="str">
        <f t="shared" si="36"/>
        <v/>
      </c>
      <c r="C106" s="49">
        <f>IF(D94="","-",+C105+1)</f>
        <v>2016</v>
      </c>
      <c r="D106" s="371">
        <v>888791.35760057461</v>
      </c>
      <c r="E106" s="373">
        <v>19328.967450980392</v>
      </c>
      <c r="F106" s="375">
        <v>869462.39014959417</v>
      </c>
      <c r="G106" s="375">
        <v>879126.87387508433</v>
      </c>
      <c r="H106" s="373">
        <v>114599.47152988262</v>
      </c>
      <c r="I106" s="374">
        <v>114599.47152988262</v>
      </c>
      <c r="J106" s="53">
        <f t="shared" si="37"/>
        <v>0</v>
      </c>
      <c r="K106" s="53"/>
      <c r="L106" s="376">
        <f t="shared" ref="L106:L111" si="44">H106</f>
        <v>114599.47152988262</v>
      </c>
      <c r="M106" s="53">
        <f t="shared" si="43"/>
        <v>0</v>
      </c>
      <c r="N106" s="376">
        <f t="shared" ref="N106:N111" si="45">I106</f>
        <v>114599.47152988262</v>
      </c>
      <c r="O106" s="53">
        <f>IF(N106&lt;&gt;0,+I106-N106,0)</f>
        <v>0</v>
      </c>
      <c r="P106" s="53">
        <f>+O106-M106</f>
        <v>0</v>
      </c>
      <c r="Q106" s="1"/>
      <c r="R106" s="1"/>
      <c r="S106" s="1"/>
      <c r="T106" s="1"/>
      <c r="U106" s="1"/>
    </row>
    <row r="107" spans="1:21">
      <c r="B107" t="str">
        <f t="shared" si="36"/>
        <v/>
      </c>
      <c r="C107" s="49">
        <f>IF(D94="","-",+C106+1)</f>
        <v>2017</v>
      </c>
      <c r="D107" s="371">
        <v>869462.39014959417</v>
      </c>
      <c r="E107" s="373">
        <v>24644.433499999999</v>
      </c>
      <c r="F107" s="375">
        <v>844817.95664959413</v>
      </c>
      <c r="G107" s="375">
        <v>857140.17339959415</v>
      </c>
      <c r="H107" s="373">
        <v>125217.71649626724</v>
      </c>
      <c r="I107" s="374">
        <v>125217.71649626724</v>
      </c>
      <c r="J107" s="53">
        <f t="shared" si="37"/>
        <v>0</v>
      </c>
      <c r="K107" s="53"/>
      <c r="L107" s="376">
        <f t="shared" si="44"/>
        <v>125217.71649626724</v>
      </c>
      <c r="M107" s="53">
        <f t="shared" si="43"/>
        <v>0</v>
      </c>
      <c r="N107" s="376">
        <f t="shared" si="45"/>
        <v>125217.71649626724</v>
      </c>
      <c r="O107" s="53">
        <f>IF(N107&lt;&gt;0,+I107-N107,0)</f>
        <v>0</v>
      </c>
      <c r="P107" s="53">
        <f>+O107-M107</f>
        <v>0</v>
      </c>
      <c r="Q107" s="1"/>
      <c r="R107" s="1"/>
      <c r="S107" s="1"/>
      <c r="T107" s="1"/>
      <c r="U107" s="1"/>
    </row>
    <row r="108" spans="1:21">
      <c r="B108" t="str">
        <f t="shared" si="36"/>
        <v/>
      </c>
      <c r="C108" s="49">
        <f>IF(D94="","-",+C107+1)</f>
        <v>2018</v>
      </c>
      <c r="D108" s="371">
        <v>844817.95664959413</v>
      </c>
      <c r="E108" s="373">
        <v>27382.703888888889</v>
      </c>
      <c r="F108" s="375">
        <v>817435.25276070519</v>
      </c>
      <c r="G108" s="375">
        <v>831126.60470514966</v>
      </c>
      <c r="H108" s="373">
        <v>115118.46379296975</v>
      </c>
      <c r="I108" s="374">
        <v>115118.46379296975</v>
      </c>
      <c r="J108" s="53">
        <f t="shared" si="37"/>
        <v>0</v>
      </c>
      <c r="K108" s="53"/>
      <c r="L108" s="376">
        <f t="shared" si="44"/>
        <v>115118.46379296975</v>
      </c>
      <c r="M108" s="53">
        <f t="shared" ref="M108" si="46">IF(L108&lt;&gt;0,+H108-L108,0)</f>
        <v>0</v>
      </c>
      <c r="N108" s="376">
        <f t="shared" si="45"/>
        <v>115118.46379296975</v>
      </c>
      <c r="O108" s="53">
        <f>IF(N108&lt;&gt;0,+I108-N108,0)</f>
        <v>0</v>
      </c>
      <c r="P108" s="53">
        <f>+O108-M108</f>
        <v>0</v>
      </c>
      <c r="Q108" s="1"/>
      <c r="R108" s="1"/>
      <c r="S108" s="1"/>
      <c r="T108" s="1"/>
      <c r="U108" s="1"/>
    </row>
    <row r="109" spans="1:21">
      <c r="B109" t="str">
        <f t="shared" si="36"/>
        <v/>
      </c>
      <c r="C109" s="49">
        <f>IF(D94="","-",+C108+1)</f>
        <v>2019</v>
      </c>
      <c r="D109" s="371">
        <v>817435.25276070519</v>
      </c>
      <c r="E109" s="373">
        <v>27382.703888888889</v>
      </c>
      <c r="F109" s="375">
        <v>790052.54887181625</v>
      </c>
      <c r="G109" s="375">
        <v>803743.90081626072</v>
      </c>
      <c r="H109" s="373">
        <v>112227.87850750366</v>
      </c>
      <c r="I109" s="374">
        <v>112227.87850750366</v>
      </c>
      <c r="J109" s="53">
        <f t="shared" si="37"/>
        <v>0</v>
      </c>
      <c r="K109" s="53"/>
      <c r="L109" s="376">
        <f t="shared" si="44"/>
        <v>112227.87850750366</v>
      </c>
      <c r="M109" s="53">
        <f t="shared" ref="M109" si="47">IF(L109&lt;&gt;0,+H109-L109,0)</f>
        <v>0</v>
      </c>
      <c r="N109" s="376">
        <f t="shared" si="45"/>
        <v>112227.87850750366</v>
      </c>
      <c r="O109" s="53">
        <f>IF(N109&lt;&gt;0,+I109-N109,0)</f>
        <v>0</v>
      </c>
      <c r="P109" s="53">
        <f t="shared" si="41"/>
        <v>0</v>
      </c>
      <c r="Q109" s="1"/>
      <c r="R109" s="1"/>
      <c r="S109" s="1"/>
      <c r="T109" s="1"/>
      <c r="U109" s="1"/>
    </row>
    <row r="110" spans="1:21">
      <c r="B110" t="str">
        <f t="shared" si="36"/>
        <v/>
      </c>
      <c r="C110" s="49">
        <f>IF(D94="","-",+C109+1)</f>
        <v>2020</v>
      </c>
      <c r="D110" s="371">
        <v>790052.54887181625</v>
      </c>
      <c r="E110" s="373">
        <v>35206.333571428571</v>
      </c>
      <c r="F110" s="375">
        <v>754846.2153003877</v>
      </c>
      <c r="G110" s="375">
        <v>772449.38208610192</v>
      </c>
      <c r="H110" s="373">
        <v>117405.37509665726</v>
      </c>
      <c r="I110" s="374">
        <v>117405.37509665726</v>
      </c>
      <c r="J110" s="53">
        <f t="shared" si="37"/>
        <v>0</v>
      </c>
      <c r="K110" s="53"/>
      <c r="L110" s="376">
        <f t="shared" si="44"/>
        <v>117405.37509665726</v>
      </c>
      <c r="M110" s="53">
        <f t="shared" ref="M110" si="48">IF(L110&lt;&gt;0,+H110-L110,0)</f>
        <v>0</v>
      </c>
      <c r="N110" s="376">
        <f t="shared" si="45"/>
        <v>117405.37509665726</v>
      </c>
      <c r="O110" s="53">
        <f t="shared" si="40"/>
        <v>0</v>
      </c>
      <c r="P110" s="53">
        <f t="shared" si="41"/>
        <v>0</v>
      </c>
      <c r="Q110" s="1"/>
      <c r="R110" s="1"/>
      <c r="S110" s="1"/>
      <c r="T110" s="1"/>
      <c r="U110" s="1"/>
    </row>
    <row r="111" spans="1:21">
      <c r="B111" t="str">
        <f t="shared" si="36"/>
        <v/>
      </c>
      <c r="C111" s="49">
        <f>IF(D94="","-",+C110+1)</f>
        <v>2021</v>
      </c>
      <c r="D111" s="371">
        <v>754846.2153003877</v>
      </c>
      <c r="E111" s="373">
        <v>39431.0936</v>
      </c>
      <c r="F111" s="375">
        <v>715415.12170038768</v>
      </c>
      <c r="G111" s="375">
        <v>735130.66850038769</v>
      </c>
      <c r="H111" s="373">
        <v>126148.58717460747</v>
      </c>
      <c r="I111" s="374">
        <v>126148.58717460747</v>
      </c>
      <c r="J111" s="53">
        <f t="shared" si="37"/>
        <v>0</v>
      </c>
      <c r="K111" s="53"/>
      <c r="L111" s="376">
        <f t="shared" si="44"/>
        <v>126148.58717460747</v>
      </c>
      <c r="M111" s="53">
        <f t="shared" ref="M111" si="49">IF(L111&lt;&gt;0,+H111-L111,0)</f>
        <v>0</v>
      </c>
      <c r="N111" s="376">
        <f t="shared" si="45"/>
        <v>126148.58717460747</v>
      </c>
      <c r="O111" s="53">
        <f t="shared" si="40"/>
        <v>0</v>
      </c>
      <c r="P111" s="53">
        <f t="shared" si="41"/>
        <v>0</v>
      </c>
      <c r="Q111" s="1"/>
      <c r="R111" s="1"/>
      <c r="S111" s="1"/>
      <c r="T111" s="1"/>
      <c r="U111" s="1"/>
    </row>
    <row r="112" spans="1:21">
      <c r="B112" t="str">
        <f t="shared" si="36"/>
        <v/>
      </c>
      <c r="C112" s="49">
        <f>IF(D94="","-",+C111+1)</f>
        <v>2022</v>
      </c>
      <c r="D112" s="371">
        <v>715415.12170038768</v>
      </c>
      <c r="E112" s="373">
        <v>46941.778095238093</v>
      </c>
      <c r="F112" s="375">
        <v>668473.34360514954</v>
      </c>
      <c r="G112" s="375">
        <v>691944.23265276861</v>
      </c>
      <c r="H112" s="373">
        <v>126491.84981530069</v>
      </c>
      <c r="I112" s="374">
        <v>126491.84981530069</v>
      </c>
      <c r="J112" s="53">
        <f t="shared" si="37"/>
        <v>0</v>
      </c>
      <c r="K112" s="53"/>
      <c r="L112" s="376">
        <f t="shared" ref="L112" si="50">H112</f>
        <v>126491.84981530069</v>
      </c>
      <c r="M112" s="53">
        <f t="shared" ref="M112" si="51">IF(L112&lt;&gt;0,+H112-L112,0)</f>
        <v>0</v>
      </c>
      <c r="N112" s="376">
        <f t="shared" ref="N112" si="52">I112</f>
        <v>126491.84981530069</v>
      </c>
      <c r="O112" s="53">
        <f t="shared" ref="O112" si="53">IF(N112&lt;&gt;0,+I112-N112,0)</f>
        <v>0</v>
      </c>
      <c r="P112" s="53">
        <f t="shared" ref="P112" si="54">+O112-M112</f>
        <v>0</v>
      </c>
      <c r="Q112" s="1"/>
      <c r="R112" s="1"/>
      <c r="S112" s="1"/>
      <c r="T112" s="1"/>
      <c r="U112" s="1"/>
    </row>
    <row r="113" spans="2:21">
      <c r="B113" t="str">
        <f t="shared" si="36"/>
        <v>IU</v>
      </c>
      <c r="C113" s="49">
        <f>IF(D94="","-",+C112+1)</f>
        <v>2023</v>
      </c>
      <c r="D113" s="371">
        <v>668473.00360514992</v>
      </c>
      <c r="E113" s="373">
        <v>51883</v>
      </c>
      <c r="F113" s="375">
        <v>616590.00360514992</v>
      </c>
      <c r="G113" s="375">
        <v>642531.50360514992</v>
      </c>
      <c r="H113" s="373">
        <v>122326.40179536593</v>
      </c>
      <c r="I113" s="374">
        <v>122326.40179536593</v>
      </c>
      <c r="J113" s="53">
        <f t="shared" si="37"/>
        <v>0</v>
      </c>
      <c r="K113" s="53"/>
      <c r="L113" s="376">
        <f t="shared" ref="L113" si="55">H113</f>
        <v>122326.40179536593</v>
      </c>
      <c r="M113" s="53">
        <f t="shared" ref="M113" si="56">IF(L113&lt;&gt;0,+H113-L113,0)</f>
        <v>0</v>
      </c>
      <c r="N113" s="376">
        <f t="shared" ref="N113" si="57">I113</f>
        <v>122326.40179536593</v>
      </c>
      <c r="O113" s="53">
        <f t="shared" ref="O113" si="58">IF(N113&lt;&gt;0,+I113-N113,0)</f>
        <v>0</v>
      </c>
      <c r="P113" s="53">
        <f t="shared" ref="P113" si="59">+O113-M113</f>
        <v>0</v>
      </c>
      <c r="Q113" s="1"/>
      <c r="R113" s="1"/>
      <c r="S113" s="1"/>
      <c r="T113" s="1"/>
      <c r="U113" s="1"/>
    </row>
    <row r="114" spans="2:21">
      <c r="B114" t="str">
        <f t="shared" si="36"/>
        <v/>
      </c>
      <c r="C114" s="49">
        <f>IF(D94="","-",+C113+1)</f>
        <v>2024</v>
      </c>
      <c r="D114" s="371">
        <v>616590.00360514992</v>
      </c>
      <c r="E114" s="373">
        <v>57986.882352941175</v>
      </c>
      <c r="F114" s="375">
        <v>558603.12125220872</v>
      </c>
      <c r="G114" s="375">
        <v>587596.56242867932</v>
      </c>
      <c r="H114" s="373">
        <v>123048.63228040433</v>
      </c>
      <c r="I114" s="374">
        <v>123048.63228040433</v>
      </c>
      <c r="J114" s="53">
        <f t="shared" si="37"/>
        <v>0</v>
      </c>
      <c r="K114" s="53"/>
      <c r="L114" s="376">
        <f t="shared" ref="L114" si="60">H114</f>
        <v>123048.63228040433</v>
      </c>
      <c r="M114" s="53">
        <f t="shared" ref="M114" si="61">IF(L114&lt;&gt;0,+H114-L114,0)</f>
        <v>0</v>
      </c>
      <c r="N114" s="376">
        <f t="shared" ref="N114" si="62">I114</f>
        <v>123048.63228040433</v>
      </c>
      <c r="O114" s="53">
        <f t="shared" ref="O114" si="63">IF(N114&lt;&gt;0,+I114-N114,0)</f>
        <v>0</v>
      </c>
      <c r="P114" s="53">
        <f t="shared" ref="P114" si="64">+O114-M114</f>
        <v>0</v>
      </c>
      <c r="Q114" s="1"/>
      <c r="R114" s="1"/>
      <c r="S114" s="1"/>
      <c r="T114" s="1"/>
      <c r="U114" s="1"/>
    </row>
    <row r="115" spans="2:21">
      <c r="B115" t="str">
        <f t="shared" si="36"/>
        <v/>
      </c>
      <c r="C115" s="49">
        <f>IF(D94="","-",+C114+1)</f>
        <v>2025</v>
      </c>
      <c r="D115" s="11">
        <f>IF(F114+SUM(E$100:E114)=D$93,F114,D$93-SUM(E$100:E114))</f>
        <v>558603.12125220872</v>
      </c>
      <c r="E115" s="377">
        <f>IF(+J97&lt;F114,J97,D115)</f>
        <v>30805.53125</v>
      </c>
      <c r="F115" s="54">
        <f t="shared" ref="F115:F131" si="65">+D115-E115</f>
        <v>527797.59000220872</v>
      </c>
      <c r="G115" s="54">
        <f t="shared" ref="G115:G131" si="66">+(F115+D115)/2</f>
        <v>543200.35562720872</v>
      </c>
      <c r="H115" s="459">
        <f t="shared" ref="H115:H155" si="67">(D115+F115)/2*J$95+E115</f>
        <v>91896.537849645916</v>
      </c>
      <c r="I115" s="407">
        <f t="shared" ref="I115:I155" si="68">+J$96*G115+E115</f>
        <v>91896.537849645916</v>
      </c>
      <c r="J115" s="53">
        <f t="shared" si="37"/>
        <v>0</v>
      </c>
      <c r="K115" s="53"/>
      <c r="L115" s="112"/>
      <c r="M115" s="53">
        <f t="shared" si="42"/>
        <v>0</v>
      </c>
      <c r="N115" s="112"/>
      <c r="O115" s="53">
        <f t="shared" si="40"/>
        <v>0</v>
      </c>
      <c r="P115" s="53">
        <f t="shared" si="41"/>
        <v>0</v>
      </c>
      <c r="Q115" s="1"/>
      <c r="R115" s="1"/>
      <c r="S115" s="1"/>
      <c r="T115" s="1"/>
      <c r="U115" s="1"/>
    </row>
    <row r="116" spans="2:21">
      <c r="B116" t="str">
        <f t="shared" si="36"/>
        <v/>
      </c>
      <c r="C116" s="49">
        <f>IF(D94="","-",+C115+1)</f>
        <v>2026</v>
      </c>
      <c r="D116" s="11">
        <f>IF(F115+SUM(E$100:E115)=D$93,F115,D$93-SUM(E$100:E115))</f>
        <v>527797.59000220872</v>
      </c>
      <c r="E116" s="377">
        <f>IF(+J97&lt;F115,J97,D116)</f>
        <v>30805.53125</v>
      </c>
      <c r="F116" s="54">
        <f t="shared" si="65"/>
        <v>496992.05875220872</v>
      </c>
      <c r="G116" s="54">
        <f t="shared" si="66"/>
        <v>512394.82437720872</v>
      </c>
      <c r="H116" s="459">
        <f t="shared" si="67"/>
        <v>88431.994991005195</v>
      </c>
      <c r="I116" s="407">
        <f t="shared" si="68"/>
        <v>88431.994991005195</v>
      </c>
      <c r="J116" s="53">
        <f t="shared" si="37"/>
        <v>0</v>
      </c>
      <c r="K116" s="53"/>
      <c r="L116" s="112"/>
      <c r="M116" s="53">
        <f t="shared" si="42"/>
        <v>0</v>
      </c>
      <c r="N116" s="112"/>
      <c r="O116" s="53">
        <f t="shared" si="40"/>
        <v>0</v>
      </c>
      <c r="P116" s="53">
        <f t="shared" si="41"/>
        <v>0</v>
      </c>
      <c r="Q116" s="1"/>
      <c r="R116" s="1"/>
      <c r="S116" s="1"/>
      <c r="T116" s="1"/>
      <c r="U116" s="1"/>
    </row>
    <row r="117" spans="2:21">
      <c r="B117" t="str">
        <f t="shared" si="36"/>
        <v/>
      </c>
      <c r="C117" s="49">
        <f>IF(D94="","-",+C116+1)</f>
        <v>2027</v>
      </c>
      <c r="D117" s="11">
        <f>IF(F116+SUM(E$100:E116)=D$93,F116,D$93-SUM(E$100:E116))</f>
        <v>496992.05875220872</v>
      </c>
      <c r="E117" s="377">
        <f>IF(+J97&lt;F116,J97,D117)</f>
        <v>30805.53125</v>
      </c>
      <c r="F117" s="54">
        <f t="shared" si="65"/>
        <v>466186.52750220872</v>
      </c>
      <c r="G117" s="54">
        <f t="shared" si="66"/>
        <v>481589.29312720872</v>
      </c>
      <c r="H117" s="459">
        <f t="shared" si="67"/>
        <v>84967.452132364473</v>
      </c>
      <c r="I117" s="407">
        <f t="shared" si="68"/>
        <v>84967.452132364473</v>
      </c>
      <c r="J117" s="53">
        <f t="shared" si="37"/>
        <v>0</v>
      </c>
      <c r="K117" s="53"/>
      <c r="L117" s="112"/>
      <c r="M117" s="53">
        <f t="shared" si="42"/>
        <v>0</v>
      </c>
      <c r="N117" s="112"/>
      <c r="O117" s="53">
        <f t="shared" si="40"/>
        <v>0</v>
      </c>
      <c r="P117" s="53">
        <f t="shared" si="41"/>
        <v>0</v>
      </c>
      <c r="Q117" s="1"/>
      <c r="R117" s="1"/>
      <c r="S117" s="1"/>
      <c r="T117" s="1"/>
      <c r="U117" s="1"/>
    </row>
    <row r="118" spans="2:21">
      <c r="B118" t="str">
        <f t="shared" si="36"/>
        <v/>
      </c>
      <c r="C118" s="49">
        <f>IF(D94="","-",+C117+1)</f>
        <v>2028</v>
      </c>
      <c r="D118" s="11">
        <f>IF(F117+SUM(E$100:E117)=D$93,F117,D$93-SUM(E$100:E117))</f>
        <v>466186.52750220872</v>
      </c>
      <c r="E118" s="377">
        <f>IF(+J97&lt;F117,J97,D118)</f>
        <v>30805.53125</v>
      </c>
      <c r="F118" s="54">
        <f t="shared" si="65"/>
        <v>435380.99625220872</v>
      </c>
      <c r="G118" s="54">
        <f t="shared" si="66"/>
        <v>450783.76187720872</v>
      </c>
      <c r="H118" s="459">
        <f t="shared" si="67"/>
        <v>81502.909273723752</v>
      </c>
      <c r="I118" s="407">
        <f t="shared" si="68"/>
        <v>81502.909273723752</v>
      </c>
      <c r="J118" s="53">
        <f t="shared" si="37"/>
        <v>0</v>
      </c>
      <c r="K118" s="53"/>
      <c r="L118" s="112"/>
      <c r="M118" s="53">
        <f t="shared" si="42"/>
        <v>0</v>
      </c>
      <c r="N118" s="112"/>
      <c r="O118" s="53">
        <f t="shared" si="40"/>
        <v>0</v>
      </c>
      <c r="P118" s="53">
        <f t="shared" si="41"/>
        <v>0</v>
      </c>
      <c r="Q118" s="1"/>
      <c r="R118" s="1"/>
      <c r="S118" s="1"/>
      <c r="T118" s="1"/>
      <c r="U118" s="1"/>
    </row>
    <row r="119" spans="2:21">
      <c r="B119" t="str">
        <f t="shared" si="36"/>
        <v/>
      </c>
      <c r="C119" s="49">
        <f>IF(D94="","-",+C118+1)</f>
        <v>2029</v>
      </c>
      <c r="D119" s="11">
        <f>IF(F118+SUM(E$100:E118)=D$93,F118,D$93-SUM(E$100:E118))</f>
        <v>435380.99625220872</v>
      </c>
      <c r="E119" s="377">
        <f>IF(+J97&lt;F118,J97,D119)</f>
        <v>30805.53125</v>
      </c>
      <c r="F119" s="54">
        <f t="shared" si="65"/>
        <v>404575.46500220872</v>
      </c>
      <c r="G119" s="54">
        <f t="shared" si="66"/>
        <v>419978.23062720872</v>
      </c>
      <c r="H119" s="459">
        <f t="shared" si="67"/>
        <v>78038.366415083015</v>
      </c>
      <c r="I119" s="407">
        <f t="shared" si="68"/>
        <v>78038.366415083015</v>
      </c>
      <c r="J119" s="53">
        <f t="shared" si="37"/>
        <v>0</v>
      </c>
      <c r="K119" s="53"/>
      <c r="L119" s="112"/>
      <c r="M119" s="53">
        <f t="shared" si="42"/>
        <v>0</v>
      </c>
      <c r="N119" s="112"/>
      <c r="O119" s="53">
        <f t="shared" si="40"/>
        <v>0</v>
      </c>
      <c r="P119" s="53">
        <f t="shared" si="41"/>
        <v>0</v>
      </c>
      <c r="Q119" s="1"/>
      <c r="R119" s="1"/>
      <c r="S119" s="1"/>
      <c r="T119" s="1"/>
      <c r="U119" s="1"/>
    </row>
    <row r="120" spans="2:21">
      <c r="B120" t="str">
        <f t="shared" si="36"/>
        <v/>
      </c>
      <c r="C120" s="49">
        <f>IF(D94="","-",+C119+1)</f>
        <v>2030</v>
      </c>
      <c r="D120" s="11">
        <f>IF(F119+SUM(E$100:E119)=D$93,F119,D$93-SUM(E$100:E119))</f>
        <v>404575.46500220872</v>
      </c>
      <c r="E120" s="377">
        <f>IF(+J97&lt;F119,J97,D120)</f>
        <v>30805.53125</v>
      </c>
      <c r="F120" s="54">
        <f t="shared" si="65"/>
        <v>373769.93375220872</v>
      </c>
      <c r="G120" s="54">
        <f t="shared" si="66"/>
        <v>389172.69937720872</v>
      </c>
      <c r="H120" s="459">
        <f t="shared" si="67"/>
        <v>74573.823556442294</v>
      </c>
      <c r="I120" s="407">
        <f t="shared" si="68"/>
        <v>74573.823556442294</v>
      </c>
      <c r="J120" s="53">
        <f t="shared" si="37"/>
        <v>0</v>
      </c>
      <c r="K120" s="53"/>
      <c r="L120" s="112"/>
      <c r="M120" s="53">
        <f t="shared" si="42"/>
        <v>0</v>
      </c>
      <c r="N120" s="112"/>
      <c r="O120" s="53">
        <f t="shared" si="40"/>
        <v>0</v>
      </c>
      <c r="P120" s="53">
        <f t="shared" si="41"/>
        <v>0</v>
      </c>
      <c r="Q120" s="1"/>
      <c r="R120" s="1"/>
      <c r="S120" s="1"/>
      <c r="T120" s="1"/>
      <c r="U120" s="1"/>
    </row>
    <row r="121" spans="2:21">
      <c r="B121" t="str">
        <f t="shared" si="36"/>
        <v/>
      </c>
      <c r="C121" s="49">
        <f>IF(D94="","-",+C120+1)</f>
        <v>2031</v>
      </c>
      <c r="D121" s="11">
        <f>IF(F120+SUM(E$100:E120)=D$93,F120,D$93-SUM(E$100:E120))</f>
        <v>373769.93375220872</v>
      </c>
      <c r="E121" s="377">
        <f>IF(+J97&lt;F120,J97,D121)</f>
        <v>30805.53125</v>
      </c>
      <c r="F121" s="54">
        <f t="shared" si="65"/>
        <v>342964.40250220872</v>
      </c>
      <c r="G121" s="54">
        <f t="shared" si="66"/>
        <v>358367.16812720872</v>
      </c>
      <c r="H121" s="459">
        <f t="shared" si="67"/>
        <v>71109.280697801558</v>
      </c>
      <c r="I121" s="407">
        <f t="shared" si="68"/>
        <v>71109.280697801558</v>
      </c>
      <c r="J121" s="53">
        <f t="shared" si="37"/>
        <v>0</v>
      </c>
      <c r="K121" s="53"/>
      <c r="L121" s="112"/>
      <c r="M121" s="53">
        <f t="shared" si="42"/>
        <v>0</v>
      </c>
      <c r="N121" s="112"/>
      <c r="O121" s="53">
        <f t="shared" si="40"/>
        <v>0</v>
      </c>
      <c r="P121" s="53">
        <f t="shared" si="41"/>
        <v>0</v>
      </c>
      <c r="Q121" s="1"/>
      <c r="R121" s="1"/>
      <c r="S121" s="1"/>
      <c r="T121" s="1"/>
      <c r="U121" s="1"/>
    </row>
    <row r="122" spans="2:21">
      <c r="B122" t="str">
        <f t="shared" si="36"/>
        <v/>
      </c>
      <c r="C122" s="49">
        <f>IF(D94="","-",+C121+1)</f>
        <v>2032</v>
      </c>
      <c r="D122" s="11">
        <f>IF(F121+SUM(E$100:E121)=D$93,F121,D$93-SUM(E$100:E121))</f>
        <v>342964.40250220872</v>
      </c>
      <c r="E122" s="377">
        <f>IF(+J97&lt;F121,J97,D122)</f>
        <v>30805.53125</v>
      </c>
      <c r="F122" s="54">
        <f t="shared" si="65"/>
        <v>312158.87125220872</v>
      </c>
      <c r="G122" s="54">
        <f t="shared" si="66"/>
        <v>327561.63687720872</v>
      </c>
      <c r="H122" s="459">
        <f t="shared" si="67"/>
        <v>67644.737839160836</v>
      </c>
      <c r="I122" s="407">
        <f t="shared" si="68"/>
        <v>67644.737839160836</v>
      </c>
      <c r="J122" s="53">
        <f t="shared" si="37"/>
        <v>0</v>
      </c>
      <c r="K122" s="53"/>
      <c r="L122" s="112"/>
      <c r="M122" s="53">
        <f t="shared" si="42"/>
        <v>0</v>
      </c>
      <c r="N122" s="112"/>
      <c r="O122" s="53">
        <f t="shared" si="40"/>
        <v>0</v>
      </c>
      <c r="P122" s="53">
        <f t="shared" si="41"/>
        <v>0</v>
      </c>
      <c r="Q122" s="1"/>
      <c r="R122" s="1"/>
      <c r="S122" s="1"/>
      <c r="T122" s="1"/>
      <c r="U122" s="1"/>
    </row>
    <row r="123" spans="2:21">
      <c r="B123" t="str">
        <f t="shared" si="36"/>
        <v/>
      </c>
      <c r="C123" s="49">
        <f>IF(D94="","-",+C122+1)</f>
        <v>2033</v>
      </c>
      <c r="D123" s="11">
        <f>IF(F122+SUM(E$100:E122)=D$93,F122,D$93-SUM(E$100:E122))</f>
        <v>312158.87125220872</v>
      </c>
      <c r="E123" s="377">
        <f>IF(+J97&lt;F122,J97,D123)</f>
        <v>30805.53125</v>
      </c>
      <c r="F123" s="54">
        <f t="shared" si="65"/>
        <v>281353.34000220872</v>
      </c>
      <c r="G123" s="54">
        <f t="shared" si="66"/>
        <v>296756.10562720872</v>
      </c>
      <c r="H123" s="459">
        <f t="shared" si="67"/>
        <v>64180.194980520115</v>
      </c>
      <c r="I123" s="407">
        <f t="shared" si="68"/>
        <v>64180.194980520115</v>
      </c>
      <c r="J123" s="53">
        <f t="shared" si="37"/>
        <v>0</v>
      </c>
      <c r="K123" s="53"/>
      <c r="L123" s="112"/>
      <c r="M123" s="53">
        <f t="shared" si="42"/>
        <v>0</v>
      </c>
      <c r="N123" s="112"/>
      <c r="O123" s="53">
        <f t="shared" si="40"/>
        <v>0</v>
      </c>
      <c r="P123" s="53">
        <f t="shared" si="41"/>
        <v>0</v>
      </c>
      <c r="Q123" s="1"/>
      <c r="R123" s="1"/>
      <c r="S123" s="1"/>
      <c r="T123" s="1"/>
      <c r="U123" s="1"/>
    </row>
    <row r="124" spans="2:21">
      <c r="B124" t="str">
        <f t="shared" si="36"/>
        <v/>
      </c>
      <c r="C124" s="49">
        <f>IF(D94="","-",+C123+1)</f>
        <v>2034</v>
      </c>
      <c r="D124" s="11">
        <f>IF(F123+SUM(E$100:E123)=D$93,F123,D$93-SUM(E$100:E123))</f>
        <v>281353.34000220872</v>
      </c>
      <c r="E124" s="377">
        <f>IF(+J97&lt;F123,J97,D124)</f>
        <v>30805.53125</v>
      </c>
      <c r="F124" s="54">
        <f t="shared" si="65"/>
        <v>250547.80875220872</v>
      </c>
      <c r="G124" s="54">
        <f t="shared" si="66"/>
        <v>265950.57437720872</v>
      </c>
      <c r="H124" s="459">
        <f t="shared" si="67"/>
        <v>60715.652121879393</v>
      </c>
      <c r="I124" s="407">
        <f t="shared" si="68"/>
        <v>60715.652121879393</v>
      </c>
      <c r="J124" s="53">
        <f t="shared" si="37"/>
        <v>0</v>
      </c>
      <c r="K124" s="53"/>
      <c r="L124" s="112"/>
      <c r="M124" s="53">
        <f t="shared" si="42"/>
        <v>0</v>
      </c>
      <c r="N124" s="112"/>
      <c r="O124" s="53">
        <f t="shared" si="40"/>
        <v>0</v>
      </c>
      <c r="P124" s="53">
        <f t="shared" si="41"/>
        <v>0</v>
      </c>
      <c r="Q124" s="1"/>
      <c r="R124" s="1"/>
      <c r="S124" s="1"/>
      <c r="T124" s="1"/>
      <c r="U124" s="1"/>
    </row>
    <row r="125" spans="2:21">
      <c r="B125" t="str">
        <f t="shared" si="36"/>
        <v/>
      </c>
      <c r="C125" s="49">
        <f>IF(D94="","-",+C124+1)</f>
        <v>2035</v>
      </c>
      <c r="D125" s="11">
        <f>IF(F124+SUM(E$100:E124)=D$93,F124,D$93-SUM(E$100:E124))</f>
        <v>250547.80875220872</v>
      </c>
      <c r="E125" s="377">
        <f>IF(+J97&lt;F124,J97,D125)</f>
        <v>30805.53125</v>
      </c>
      <c r="F125" s="54">
        <f t="shared" si="65"/>
        <v>219742.27750220872</v>
      </c>
      <c r="G125" s="54">
        <f t="shared" si="66"/>
        <v>235145.04312720872</v>
      </c>
      <c r="H125" s="459">
        <f t="shared" si="67"/>
        <v>57251.109263238657</v>
      </c>
      <c r="I125" s="407">
        <f t="shared" si="68"/>
        <v>57251.109263238657</v>
      </c>
      <c r="J125" s="53">
        <f t="shared" si="37"/>
        <v>0</v>
      </c>
      <c r="K125" s="53"/>
      <c r="L125" s="112"/>
      <c r="M125" s="53">
        <f t="shared" si="42"/>
        <v>0</v>
      </c>
      <c r="N125" s="112"/>
      <c r="O125" s="53">
        <f t="shared" si="40"/>
        <v>0</v>
      </c>
      <c r="P125" s="53">
        <f t="shared" si="41"/>
        <v>0</v>
      </c>
      <c r="Q125" s="1"/>
      <c r="R125" s="1"/>
      <c r="S125" s="1"/>
      <c r="T125" s="1"/>
      <c r="U125" s="1"/>
    </row>
    <row r="126" spans="2:21">
      <c r="B126" t="str">
        <f t="shared" si="36"/>
        <v/>
      </c>
      <c r="C126" s="49">
        <f>IF(D94="","-",+C125+1)</f>
        <v>2036</v>
      </c>
      <c r="D126" s="11">
        <f>IF(F125+SUM(E$100:E125)=D$93,F125,D$93-SUM(E$100:E125))</f>
        <v>219742.27750220872</v>
      </c>
      <c r="E126" s="377">
        <f>IF(+J97&lt;F125,J97,D126)</f>
        <v>30805.53125</v>
      </c>
      <c r="F126" s="54">
        <f t="shared" si="65"/>
        <v>188936.74625220872</v>
      </c>
      <c r="G126" s="54">
        <f t="shared" si="66"/>
        <v>204339.51187720872</v>
      </c>
      <c r="H126" s="459">
        <f t="shared" si="67"/>
        <v>53786.566404597936</v>
      </c>
      <c r="I126" s="407">
        <f t="shared" si="68"/>
        <v>53786.566404597936</v>
      </c>
      <c r="J126" s="53">
        <f t="shared" si="37"/>
        <v>0</v>
      </c>
      <c r="K126" s="53"/>
      <c r="L126" s="112"/>
      <c r="M126" s="53">
        <f t="shared" si="42"/>
        <v>0</v>
      </c>
      <c r="N126" s="112"/>
      <c r="O126" s="53">
        <f t="shared" si="40"/>
        <v>0</v>
      </c>
      <c r="P126" s="53">
        <f t="shared" si="41"/>
        <v>0</v>
      </c>
      <c r="Q126" s="1"/>
      <c r="R126" s="1"/>
      <c r="S126" s="1"/>
      <c r="T126" s="1"/>
      <c r="U126" s="1"/>
    </row>
    <row r="127" spans="2:21">
      <c r="B127" t="str">
        <f t="shared" si="36"/>
        <v/>
      </c>
      <c r="C127" s="49">
        <f>IF(D94="","-",+C126+1)</f>
        <v>2037</v>
      </c>
      <c r="D127" s="11">
        <f>IF(F126+SUM(E$100:E126)=D$93,F126,D$93-SUM(E$100:E126))</f>
        <v>188936.74625220872</v>
      </c>
      <c r="E127" s="377">
        <f>IF(+J97&lt;F126,J97,D127)</f>
        <v>30805.53125</v>
      </c>
      <c r="F127" s="54">
        <f t="shared" si="65"/>
        <v>158131.21500220872</v>
      </c>
      <c r="G127" s="54">
        <f t="shared" si="66"/>
        <v>173533.98062720872</v>
      </c>
      <c r="H127" s="459">
        <f t="shared" si="67"/>
        <v>50322.023545957214</v>
      </c>
      <c r="I127" s="407">
        <f t="shared" si="68"/>
        <v>50322.023545957214</v>
      </c>
      <c r="J127" s="53">
        <f t="shared" si="37"/>
        <v>0</v>
      </c>
      <c r="K127" s="53"/>
      <c r="L127" s="112"/>
      <c r="M127" s="53">
        <f t="shared" si="42"/>
        <v>0</v>
      </c>
      <c r="N127" s="112"/>
      <c r="O127" s="53">
        <f t="shared" si="40"/>
        <v>0</v>
      </c>
      <c r="P127" s="53">
        <f t="shared" si="41"/>
        <v>0</v>
      </c>
      <c r="Q127" s="1"/>
      <c r="R127" s="1"/>
      <c r="S127" s="1"/>
      <c r="T127" s="1"/>
      <c r="U127" s="1"/>
    </row>
    <row r="128" spans="2:21">
      <c r="B128" t="str">
        <f t="shared" si="36"/>
        <v/>
      </c>
      <c r="C128" s="49">
        <f>IF(D94="","-",+C127+1)</f>
        <v>2038</v>
      </c>
      <c r="D128" s="11">
        <f>IF(F127+SUM(E$100:E127)=D$93,F127,D$93-SUM(E$100:E127))</f>
        <v>158131.21500220872</v>
      </c>
      <c r="E128" s="377">
        <f>IF(+J97&lt;F127,J97,D128)</f>
        <v>30805.53125</v>
      </c>
      <c r="F128" s="54">
        <f t="shared" si="65"/>
        <v>127325.68375220872</v>
      </c>
      <c r="G128" s="54">
        <f t="shared" si="66"/>
        <v>142728.44937720872</v>
      </c>
      <c r="H128" s="459">
        <f t="shared" si="67"/>
        <v>46857.480687316485</v>
      </c>
      <c r="I128" s="407">
        <f t="shared" si="68"/>
        <v>46857.480687316485</v>
      </c>
      <c r="J128" s="53">
        <f t="shared" si="37"/>
        <v>0</v>
      </c>
      <c r="K128" s="53"/>
      <c r="L128" s="112"/>
      <c r="M128" s="53">
        <f t="shared" si="42"/>
        <v>0</v>
      </c>
      <c r="N128" s="112"/>
      <c r="O128" s="53">
        <f t="shared" si="40"/>
        <v>0</v>
      </c>
      <c r="P128" s="53">
        <f t="shared" si="41"/>
        <v>0</v>
      </c>
      <c r="Q128" s="1"/>
      <c r="R128" s="1"/>
      <c r="S128" s="1"/>
      <c r="T128" s="1"/>
      <c r="U128" s="1"/>
    </row>
    <row r="129" spans="2:21">
      <c r="B129" t="str">
        <f t="shared" si="36"/>
        <v/>
      </c>
      <c r="C129" s="49">
        <f>IF(D94="","-",+C128+1)</f>
        <v>2039</v>
      </c>
      <c r="D129" s="11">
        <f>IF(F128+SUM(E$100:E128)=D$93,F128,D$93-SUM(E$100:E128))</f>
        <v>127325.68375220872</v>
      </c>
      <c r="E129" s="377">
        <f>IF(+J97&lt;F128,J97,D129)</f>
        <v>30805.53125</v>
      </c>
      <c r="F129" s="54">
        <f t="shared" si="65"/>
        <v>96520.152502208715</v>
      </c>
      <c r="G129" s="54">
        <f t="shared" si="66"/>
        <v>111922.91812720872</v>
      </c>
      <c r="H129" s="459">
        <f t="shared" si="67"/>
        <v>43392.937828675756</v>
      </c>
      <c r="I129" s="407">
        <f t="shared" si="68"/>
        <v>43392.937828675756</v>
      </c>
      <c r="J129" s="53">
        <f t="shared" si="37"/>
        <v>0</v>
      </c>
      <c r="K129" s="53"/>
      <c r="L129" s="112"/>
      <c r="M129" s="53">
        <f t="shared" si="42"/>
        <v>0</v>
      </c>
      <c r="N129" s="112"/>
      <c r="O129" s="53">
        <f t="shared" si="40"/>
        <v>0</v>
      </c>
      <c r="P129" s="53">
        <f t="shared" si="41"/>
        <v>0</v>
      </c>
      <c r="Q129" s="1"/>
      <c r="R129" s="1"/>
      <c r="S129" s="1"/>
      <c r="T129" s="1"/>
      <c r="U129" s="1"/>
    </row>
    <row r="130" spans="2:21">
      <c r="B130" t="str">
        <f t="shared" si="36"/>
        <v/>
      </c>
      <c r="C130" s="49">
        <f>IF(D94="","-",+C129+1)</f>
        <v>2040</v>
      </c>
      <c r="D130" s="11">
        <f>IF(F129+SUM(E$100:E129)=D$93,F129,D$93-SUM(E$100:E129))</f>
        <v>96520.152502208715</v>
      </c>
      <c r="E130" s="377">
        <f>IF(+J97&lt;F129,J97,D130)</f>
        <v>30805.53125</v>
      </c>
      <c r="F130" s="54">
        <f t="shared" si="65"/>
        <v>65714.621252208715</v>
      </c>
      <c r="G130" s="54">
        <f t="shared" si="66"/>
        <v>81117.386877208715</v>
      </c>
      <c r="H130" s="459">
        <f t="shared" si="67"/>
        <v>39928.394970035035</v>
      </c>
      <c r="I130" s="407">
        <f t="shared" si="68"/>
        <v>39928.394970035035</v>
      </c>
      <c r="J130" s="53">
        <f t="shared" si="37"/>
        <v>0</v>
      </c>
      <c r="K130" s="53"/>
      <c r="L130" s="112"/>
      <c r="M130" s="53">
        <f t="shared" si="42"/>
        <v>0</v>
      </c>
      <c r="N130" s="112"/>
      <c r="O130" s="53">
        <f t="shared" si="40"/>
        <v>0</v>
      </c>
      <c r="P130" s="53">
        <f t="shared" si="41"/>
        <v>0</v>
      </c>
      <c r="Q130" s="1"/>
      <c r="R130" s="1"/>
      <c r="S130" s="1"/>
      <c r="T130" s="1"/>
      <c r="U130" s="1"/>
    </row>
    <row r="131" spans="2:21">
      <c r="B131" t="str">
        <f t="shared" si="36"/>
        <v/>
      </c>
      <c r="C131" s="49">
        <f>IF(D94="","-",+C130+1)</f>
        <v>2041</v>
      </c>
      <c r="D131" s="11">
        <f>IF(F130+SUM(E$100:E130)=D$93,F130,D$93-SUM(E$100:E130))</f>
        <v>65714.621252208715</v>
      </c>
      <c r="E131" s="377">
        <f>IF(+J97&lt;F130,J97,D131)</f>
        <v>30805.53125</v>
      </c>
      <c r="F131" s="54">
        <f t="shared" si="65"/>
        <v>34909.090002208715</v>
      </c>
      <c r="G131" s="54">
        <f t="shared" si="66"/>
        <v>50311.855627208715</v>
      </c>
      <c r="H131" s="459">
        <f t="shared" si="67"/>
        <v>36463.852111394306</v>
      </c>
      <c r="I131" s="407">
        <f t="shared" si="68"/>
        <v>36463.852111394306</v>
      </c>
      <c r="J131" s="53">
        <f t="shared" si="37"/>
        <v>0</v>
      </c>
      <c r="K131" s="53"/>
      <c r="L131" s="112"/>
      <c r="M131" s="53">
        <f t="shared" si="42"/>
        <v>0</v>
      </c>
      <c r="N131" s="112"/>
      <c r="O131" s="53">
        <f t="shared" si="40"/>
        <v>0</v>
      </c>
      <c r="P131" s="53">
        <f t="shared" si="41"/>
        <v>0</v>
      </c>
      <c r="Q131" s="1"/>
      <c r="R131" s="1"/>
      <c r="S131" s="1"/>
      <c r="T131" s="1"/>
      <c r="U131" s="1"/>
    </row>
    <row r="132" spans="2:21">
      <c r="B132" t="str">
        <f t="shared" si="36"/>
        <v/>
      </c>
      <c r="C132" s="49">
        <f>IF(D94="","-",+C131+1)</f>
        <v>2042</v>
      </c>
      <c r="D132" s="11">
        <f>IF(F131+SUM(E$100:E131)=D$93,F131,D$93-SUM(E$100:E131))</f>
        <v>34909.090002208715</v>
      </c>
      <c r="E132" s="377">
        <f>IF(+J97&lt;F131,J97,D132)</f>
        <v>30805.53125</v>
      </c>
      <c r="F132" s="54">
        <f t="shared" ref="F132:F155" si="69">+D132-E132</f>
        <v>4103.5587522087153</v>
      </c>
      <c r="G132" s="54">
        <f t="shared" ref="G132:G155" si="70">+(F132+D132)/2</f>
        <v>19506.324377208715</v>
      </c>
      <c r="H132" s="459">
        <f t="shared" si="67"/>
        <v>32999.309252753577</v>
      </c>
      <c r="I132" s="407">
        <f t="shared" si="68"/>
        <v>32999.309252753577</v>
      </c>
      <c r="J132" s="53">
        <f t="shared" ref="J132:J155" si="71">+I132-H132</f>
        <v>0</v>
      </c>
      <c r="K132" s="53"/>
      <c r="L132" s="112"/>
      <c r="M132" s="53">
        <f t="shared" ref="M132:M155" si="72">IF(L132&lt;&gt;0,+H132-L132,0)</f>
        <v>0</v>
      </c>
      <c r="N132" s="112"/>
      <c r="O132" s="53">
        <f t="shared" ref="O132:O155" si="73">IF(N132&lt;&gt;0,+I132-N132,0)</f>
        <v>0</v>
      </c>
      <c r="P132" s="53">
        <f t="shared" ref="P132:P155" si="74">+O132-M132</f>
        <v>0</v>
      </c>
      <c r="Q132" s="1"/>
      <c r="R132" s="1"/>
      <c r="S132" s="1"/>
      <c r="T132" s="1"/>
      <c r="U132" s="1"/>
    </row>
    <row r="133" spans="2:21">
      <c r="B133" t="str">
        <f t="shared" si="36"/>
        <v/>
      </c>
      <c r="C133" s="49">
        <f>IF(D94="","-",+C132+1)</f>
        <v>2043</v>
      </c>
      <c r="D133" s="11">
        <f>IF(F132+SUM(E$100:E132)=D$93,F132,D$93-SUM(E$100:E132))</f>
        <v>4103.5587522087153</v>
      </c>
      <c r="E133" s="377">
        <f>IF(+J97&lt;F132,J97,D133)</f>
        <v>4103.5587522087153</v>
      </c>
      <c r="F133" s="54">
        <f t="shared" si="69"/>
        <v>0</v>
      </c>
      <c r="G133" s="54">
        <f t="shared" si="70"/>
        <v>2051.7793761043577</v>
      </c>
      <c r="H133" s="459">
        <f t="shared" si="67"/>
        <v>4334.3120389253236</v>
      </c>
      <c r="I133" s="407">
        <f t="shared" si="68"/>
        <v>4334.3120389253236</v>
      </c>
      <c r="J133" s="53">
        <f t="shared" si="71"/>
        <v>0</v>
      </c>
      <c r="K133" s="53"/>
      <c r="L133" s="112"/>
      <c r="M133" s="53">
        <f t="shared" si="72"/>
        <v>0</v>
      </c>
      <c r="N133" s="112"/>
      <c r="O133" s="53">
        <f t="shared" si="73"/>
        <v>0</v>
      </c>
      <c r="P133" s="53">
        <f t="shared" si="74"/>
        <v>0</v>
      </c>
      <c r="Q133" s="1"/>
      <c r="R133" s="1"/>
      <c r="S133" s="1"/>
      <c r="T133" s="1"/>
      <c r="U133" s="1"/>
    </row>
    <row r="134" spans="2:21">
      <c r="B134" t="str">
        <f t="shared" si="36"/>
        <v/>
      </c>
      <c r="C134" s="49">
        <f>IF(D94="","-",+C133+1)</f>
        <v>2044</v>
      </c>
      <c r="D134" s="11">
        <f>IF(F133+SUM(E$100:E133)=D$93,F133,D$93-SUM(E$100:E133))</f>
        <v>0</v>
      </c>
      <c r="E134" s="377">
        <f>IF(+J97&lt;F133,J97,D134)</f>
        <v>0</v>
      </c>
      <c r="F134" s="54">
        <f t="shared" si="69"/>
        <v>0</v>
      </c>
      <c r="G134" s="54">
        <f t="shared" si="70"/>
        <v>0</v>
      </c>
      <c r="H134" s="459">
        <f t="shared" si="67"/>
        <v>0</v>
      </c>
      <c r="I134" s="407">
        <f t="shared" si="68"/>
        <v>0</v>
      </c>
      <c r="J134" s="53">
        <f t="shared" si="71"/>
        <v>0</v>
      </c>
      <c r="K134" s="53"/>
      <c r="L134" s="112"/>
      <c r="M134" s="53">
        <f t="shared" si="72"/>
        <v>0</v>
      </c>
      <c r="N134" s="112"/>
      <c r="O134" s="53">
        <f t="shared" si="73"/>
        <v>0</v>
      </c>
      <c r="P134" s="53">
        <f t="shared" si="74"/>
        <v>0</v>
      </c>
      <c r="Q134" s="1"/>
      <c r="R134" s="1"/>
      <c r="S134" s="1"/>
      <c r="T134" s="1"/>
      <c r="U134" s="1"/>
    </row>
    <row r="135" spans="2:21">
      <c r="B135" t="str">
        <f t="shared" si="36"/>
        <v/>
      </c>
      <c r="C135" s="49">
        <f>IF(D94="","-",+C134+1)</f>
        <v>2045</v>
      </c>
      <c r="D135" s="11">
        <f>IF(F134+SUM(E$100:E134)=D$93,F134,D$93-SUM(E$100:E134))</f>
        <v>0</v>
      </c>
      <c r="E135" s="377">
        <f>IF(+J97&lt;F134,J97,D135)</f>
        <v>0</v>
      </c>
      <c r="F135" s="54">
        <f t="shared" si="69"/>
        <v>0</v>
      </c>
      <c r="G135" s="54">
        <f t="shared" si="70"/>
        <v>0</v>
      </c>
      <c r="H135" s="459">
        <f t="shared" si="67"/>
        <v>0</v>
      </c>
      <c r="I135" s="407">
        <f t="shared" si="68"/>
        <v>0</v>
      </c>
      <c r="J135" s="53">
        <f t="shared" si="71"/>
        <v>0</v>
      </c>
      <c r="K135" s="53"/>
      <c r="L135" s="112"/>
      <c r="M135" s="53">
        <f t="shared" si="72"/>
        <v>0</v>
      </c>
      <c r="N135" s="112"/>
      <c r="O135" s="53">
        <f t="shared" si="73"/>
        <v>0</v>
      </c>
      <c r="P135" s="53">
        <f t="shared" si="74"/>
        <v>0</v>
      </c>
      <c r="Q135" s="1"/>
      <c r="R135" s="1"/>
      <c r="S135" s="1"/>
      <c r="T135" s="1"/>
      <c r="U135" s="1"/>
    </row>
    <row r="136" spans="2:21">
      <c r="B136" t="str">
        <f t="shared" si="36"/>
        <v/>
      </c>
      <c r="C136" s="49">
        <f>IF(D94="","-",+C135+1)</f>
        <v>2046</v>
      </c>
      <c r="D136" s="11">
        <f>IF(F135+SUM(E$100:E135)=D$93,F135,D$93-SUM(E$100:E135))</f>
        <v>0</v>
      </c>
      <c r="E136" s="377">
        <f>IF(+J97&lt;F135,J97,D136)</f>
        <v>0</v>
      </c>
      <c r="F136" s="54">
        <f t="shared" si="69"/>
        <v>0</v>
      </c>
      <c r="G136" s="54">
        <f t="shared" si="70"/>
        <v>0</v>
      </c>
      <c r="H136" s="459">
        <f t="shared" si="67"/>
        <v>0</v>
      </c>
      <c r="I136" s="407">
        <f t="shared" si="68"/>
        <v>0</v>
      </c>
      <c r="J136" s="53">
        <f t="shared" si="71"/>
        <v>0</v>
      </c>
      <c r="K136" s="53"/>
      <c r="L136" s="112"/>
      <c r="M136" s="53">
        <f t="shared" si="72"/>
        <v>0</v>
      </c>
      <c r="N136" s="112"/>
      <c r="O136" s="53">
        <f t="shared" si="73"/>
        <v>0</v>
      </c>
      <c r="P136" s="53">
        <f t="shared" si="74"/>
        <v>0</v>
      </c>
      <c r="Q136" s="1"/>
      <c r="R136" s="1"/>
      <c r="S136" s="1"/>
      <c r="T136" s="1"/>
      <c r="U136" s="1"/>
    </row>
    <row r="137" spans="2:21">
      <c r="B137" t="str">
        <f t="shared" si="36"/>
        <v/>
      </c>
      <c r="C137" s="49">
        <f>IF(D94="","-",+C136+1)</f>
        <v>2047</v>
      </c>
      <c r="D137" s="11">
        <f>IF(F136+SUM(E$100:E136)=D$93,F136,D$93-SUM(E$100:E136))</f>
        <v>0</v>
      </c>
      <c r="E137" s="377">
        <f>IF(+J97&lt;F136,J97,D137)</f>
        <v>0</v>
      </c>
      <c r="F137" s="54">
        <f t="shared" si="69"/>
        <v>0</v>
      </c>
      <c r="G137" s="54">
        <f t="shared" si="70"/>
        <v>0</v>
      </c>
      <c r="H137" s="459">
        <f t="shared" si="67"/>
        <v>0</v>
      </c>
      <c r="I137" s="407">
        <f t="shared" si="68"/>
        <v>0</v>
      </c>
      <c r="J137" s="53">
        <f t="shared" si="71"/>
        <v>0</v>
      </c>
      <c r="K137" s="53"/>
      <c r="L137" s="112"/>
      <c r="M137" s="53">
        <f t="shared" si="72"/>
        <v>0</v>
      </c>
      <c r="N137" s="112"/>
      <c r="O137" s="53">
        <f t="shared" si="73"/>
        <v>0</v>
      </c>
      <c r="P137" s="53">
        <f t="shared" si="74"/>
        <v>0</v>
      </c>
      <c r="Q137" s="1"/>
      <c r="R137" s="1"/>
      <c r="S137" s="1"/>
      <c r="T137" s="1"/>
      <c r="U137" s="1"/>
    </row>
    <row r="138" spans="2:21">
      <c r="B138" t="str">
        <f t="shared" si="36"/>
        <v/>
      </c>
      <c r="C138" s="49">
        <f>IF(D94="","-",+C137+1)</f>
        <v>2048</v>
      </c>
      <c r="D138" s="11">
        <f>IF(F137+SUM(E$100:E137)=D$93,F137,D$93-SUM(E$100:E137))</f>
        <v>0</v>
      </c>
      <c r="E138" s="377">
        <f>IF(+J97&lt;F137,J97,D138)</f>
        <v>0</v>
      </c>
      <c r="F138" s="54">
        <f t="shared" si="69"/>
        <v>0</v>
      </c>
      <c r="G138" s="54">
        <f t="shared" si="70"/>
        <v>0</v>
      </c>
      <c r="H138" s="459">
        <f t="shared" si="67"/>
        <v>0</v>
      </c>
      <c r="I138" s="407">
        <f t="shared" si="68"/>
        <v>0</v>
      </c>
      <c r="J138" s="53">
        <f t="shared" si="71"/>
        <v>0</v>
      </c>
      <c r="K138" s="53"/>
      <c r="L138" s="112"/>
      <c r="M138" s="53">
        <f t="shared" si="72"/>
        <v>0</v>
      </c>
      <c r="N138" s="112"/>
      <c r="O138" s="53">
        <f t="shared" si="73"/>
        <v>0</v>
      </c>
      <c r="P138" s="53">
        <f t="shared" si="74"/>
        <v>0</v>
      </c>
      <c r="Q138" s="1"/>
      <c r="R138" s="1"/>
      <c r="S138" s="1"/>
      <c r="T138" s="1"/>
      <c r="U138" s="1"/>
    </row>
    <row r="139" spans="2:21">
      <c r="B139" t="str">
        <f t="shared" si="36"/>
        <v/>
      </c>
      <c r="C139" s="49">
        <f>IF(D94="","-",+C138+1)</f>
        <v>2049</v>
      </c>
      <c r="D139" s="11">
        <f>IF(F138+SUM(E$100:E138)=D$93,F138,D$93-SUM(E$100:E138))</f>
        <v>0</v>
      </c>
      <c r="E139" s="377">
        <f>IF(+J97&lt;F138,J97,D139)</f>
        <v>0</v>
      </c>
      <c r="F139" s="54">
        <f t="shared" si="69"/>
        <v>0</v>
      </c>
      <c r="G139" s="54">
        <f t="shared" si="70"/>
        <v>0</v>
      </c>
      <c r="H139" s="459">
        <f t="shared" si="67"/>
        <v>0</v>
      </c>
      <c r="I139" s="407">
        <f t="shared" si="68"/>
        <v>0</v>
      </c>
      <c r="J139" s="53">
        <f t="shared" si="71"/>
        <v>0</v>
      </c>
      <c r="K139" s="53"/>
      <c r="L139" s="112"/>
      <c r="M139" s="53">
        <f t="shared" si="72"/>
        <v>0</v>
      </c>
      <c r="N139" s="112"/>
      <c r="O139" s="53">
        <f t="shared" si="73"/>
        <v>0</v>
      </c>
      <c r="P139" s="53">
        <f t="shared" si="74"/>
        <v>0</v>
      </c>
      <c r="Q139" s="1"/>
      <c r="R139" s="1"/>
      <c r="S139" s="1"/>
      <c r="T139" s="1"/>
      <c r="U139" s="1"/>
    </row>
    <row r="140" spans="2:21">
      <c r="B140" t="str">
        <f t="shared" si="36"/>
        <v/>
      </c>
      <c r="C140" s="49">
        <f>IF(D94="","-",+C139+1)</f>
        <v>2050</v>
      </c>
      <c r="D140" s="11">
        <f>IF(F139+SUM(E$100:E139)=D$93,F139,D$93-SUM(E$100:E139))</f>
        <v>0</v>
      </c>
      <c r="E140" s="377">
        <f>IF(+J97&lt;F139,J97,D140)</f>
        <v>0</v>
      </c>
      <c r="F140" s="54">
        <f t="shared" si="69"/>
        <v>0</v>
      </c>
      <c r="G140" s="54">
        <f t="shared" si="70"/>
        <v>0</v>
      </c>
      <c r="H140" s="459">
        <f t="shared" si="67"/>
        <v>0</v>
      </c>
      <c r="I140" s="407">
        <f t="shared" si="68"/>
        <v>0</v>
      </c>
      <c r="J140" s="53">
        <f t="shared" si="71"/>
        <v>0</v>
      </c>
      <c r="K140" s="53"/>
      <c r="L140" s="112"/>
      <c r="M140" s="53">
        <f t="shared" si="72"/>
        <v>0</v>
      </c>
      <c r="N140" s="112"/>
      <c r="O140" s="53">
        <f t="shared" si="73"/>
        <v>0</v>
      </c>
      <c r="P140" s="53">
        <f t="shared" si="74"/>
        <v>0</v>
      </c>
      <c r="Q140" s="1"/>
      <c r="R140" s="1"/>
      <c r="S140" s="1"/>
      <c r="T140" s="1"/>
      <c r="U140" s="1"/>
    </row>
    <row r="141" spans="2:21">
      <c r="B141" t="str">
        <f t="shared" si="36"/>
        <v/>
      </c>
      <c r="C141" s="49">
        <f>IF(D94="","-",+C140+1)</f>
        <v>2051</v>
      </c>
      <c r="D141" s="11">
        <f>IF(F140+SUM(E$100:E140)=D$93,F140,D$93-SUM(E$100:E140))</f>
        <v>0</v>
      </c>
      <c r="E141" s="377">
        <f>IF(+J97&lt;F140,J97,D141)</f>
        <v>0</v>
      </c>
      <c r="F141" s="54">
        <f t="shared" si="69"/>
        <v>0</v>
      </c>
      <c r="G141" s="54">
        <f t="shared" si="70"/>
        <v>0</v>
      </c>
      <c r="H141" s="459">
        <f t="shared" si="67"/>
        <v>0</v>
      </c>
      <c r="I141" s="407">
        <f t="shared" si="68"/>
        <v>0</v>
      </c>
      <c r="J141" s="53">
        <f t="shared" si="71"/>
        <v>0</v>
      </c>
      <c r="K141" s="53"/>
      <c r="L141" s="112"/>
      <c r="M141" s="53">
        <f t="shared" si="72"/>
        <v>0</v>
      </c>
      <c r="N141" s="112"/>
      <c r="O141" s="53">
        <f t="shared" si="73"/>
        <v>0</v>
      </c>
      <c r="P141" s="53">
        <f t="shared" si="74"/>
        <v>0</v>
      </c>
      <c r="Q141" s="1"/>
      <c r="R141" s="1"/>
      <c r="S141" s="1"/>
      <c r="T141" s="1"/>
      <c r="U141" s="1"/>
    </row>
    <row r="142" spans="2:21">
      <c r="B142" t="str">
        <f t="shared" si="36"/>
        <v/>
      </c>
      <c r="C142" s="49">
        <f>IF(D94="","-",+C141+1)</f>
        <v>2052</v>
      </c>
      <c r="D142" s="11">
        <f>IF(F141+SUM(E$100:E141)=D$93,F141,D$93-SUM(E$100:E141))</f>
        <v>0</v>
      </c>
      <c r="E142" s="377">
        <f>IF(+J97&lt;F141,J97,D142)</f>
        <v>0</v>
      </c>
      <c r="F142" s="54">
        <f t="shared" si="69"/>
        <v>0</v>
      </c>
      <c r="G142" s="54">
        <f t="shared" si="70"/>
        <v>0</v>
      </c>
      <c r="H142" s="459">
        <f t="shared" si="67"/>
        <v>0</v>
      </c>
      <c r="I142" s="407">
        <f t="shared" si="68"/>
        <v>0</v>
      </c>
      <c r="J142" s="53">
        <f t="shared" si="71"/>
        <v>0</v>
      </c>
      <c r="K142" s="53"/>
      <c r="L142" s="112"/>
      <c r="M142" s="53">
        <f t="shared" si="72"/>
        <v>0</v>
      </c>
      <c r="N142" s="112"/>
      <c r="O142" s="53">
        <f t="shared" si="73"/>
        <v>0</v>
      </c>
      <c r="P142" s="53">
        <f t="shared" si="74"/>
        <v>0</v>
      </c>
      <c r="Q142" s="1"/>
      <c r="R142" s="1"/>
      <c r="S142" s="1"/>
      <c r="T142" s="1"/>
      <c r="U142" s="1"/>
    </row>
    <row r="143" spans="2:21">
      <c r="B143" t="str">
        <f t="shared" si="36"/>
        <v/>
      </c>
      <c r="C143" s="49">
        <f>IF(D94="","-",+C142+1)</f>
        <v>2053</v>
      </c>
      <c r="D143" s="11">
        <f>IF(F142+SUM(E$100:E142)=D$93,F142,D$93-SUM(E$100:E142))</f>
        <v>0</v>
      </c>
      <c r="E143" s="377">
        <f>IF(+J97&lt;F142,J97,D143)</f>
        <v>0</v>
      </c>
      <c r="F143" s="54">
        <f t="shared" si="69"/>
        <v>0</v>
      </c>
      <c r="G143" s="54">
        <f t="shared" si="70"/>
        <v>0</v>
      </c>
      <c r="H143" s="459">
        <f t="shared" si="67"/>
        <v>0</v>
      </c>
      <c r="I143" s="407">
        <f t="shared" si="68"/>
        <v>0</v>
      </c>
      <c r="J143" s="53">
        <f t="shared" si="71"/>
        <v>0</v>
      </c>
      <c r="K143" s="53"/>
      <c r="L143" s="112"/>
      <c r="M143" s="53">
        <f t="shared" si="72"/>
        <v>0</v>
      </c>
      <c r="N143" s="112"/>
      <c r="O143" s="53">
        <f t="shared" si="73"/>
        <v>0</v>
      </c>
      <c r="P143" s="53">
        <f t="shared" si="74"/>
        <v>0</v>
      </c>
      <c r="Q143" s="1"/>
      <c r="R143" s="1"/>
      <c r="S143" s="1"/>
      <c r="T143" s="1"/>
      <c r="U143" s="1"/>
    </row>
    <row r="144" spans="2:21">
      <c r="B144" t="str">
        <f t="shared" si="36"/>
        <v/>
      </c>
      <c r="C144" s="49">
        <f>IF(D94="","-",+C143+1)</f>
        <v>2054</v>
      </c>
      <c r="D144" s="11">
        <f>IF(F143+SUM(E$100:E143)=D$93,F143,D$93-SUM(E$100:E143))</f>
        <v>0</v>
      </c>
      <c r="E144" s="377">
        <f>IF(+J97&lt;F143,J97,D144)</f>
        <v>0</v>
      </c>
      <c r="F144" s="54">
        <f t="shared" si="69"/>
        <v>0</v>
      </c>
      <c r="G144" s="54">
        <f t="shared" si="70"/>
        <v>0</v>
      </c>
      <c r="H144" s="459">
        <f t="shared" si="67"/>
        <v>0</v>
      </c>
      <c r="I144" s="407">
        <f t="shared" si="68"/>
        <v>0</v>
      </c>
      <c r="J144" s="53">
        <f t="shared" si="71"/>
        <v>0</v>
      </c>
      <c r="K144" s="53"/>
      <c r="L144" s="112"/>
      <c r="M144" s="53">
        <f t="shared" si="72"/>
        <v>0</v>
      </c>
      <c r="N144" s="112"/>
      <c r="O144" s="53">
        <f t="shared" si="73"/>
        <v>0</v>
      </c>
      <c r="P144" s="53">
        <f t="shared" si="74"/>
        <v>0</v>
      </c>
      <c r="Q144" s="1"/>
      <c r="R144" s="1"/>
      <c r="S144" s="1"/>
      <c r="T144" s="1"/>
      <c r="U144" s="1"/>
    </row>
    <row r="145" spans="2:21">
      <c r="B145" t="str">
        <f t="shared" si="36"/>
        <v/>
      </c>
      <c r="C145" s="49">
        <f>IF(D94="","-",+C144+1)</f>
        <v>2055</v>
      </c>
      <c r="D145" s="11">
        <f>IF(F144+SUM(E$100:E144)=D$93,F144,D$93-SUM(E$100:E144))</f>
        <v>0</v>
      </c>
      <c r="E145" s="377">
        <f>IF(+J97&lt;F144,J97,D145)</f>
        <v>0</v>
      </c>
      <c r="F145" s="54">
        <f t="shared" si="69"/>
        <v>0</v>
      </c>
      <c r="G145" s="54">
        <f t="shared" si="70"/>
        <v>0</v>
      </c>
      <c r="H145" s="459">
        <f t="shared" si="67"/>
        <v>0</v>
      </c>
      <c r="I145" s="407">
        <f t="shared" si="68"/>
        <v>0</v>
      </c>
      <c r="J145" s="53">
        <f t="shared" si="71"/>
        <v>0</v>
      </c>
      <c r="K145" s="53"/>
      <c r="L145" s="112"/>
      <c r="M145" s="53">
        <f t="shared" si="72"/>
        <v>0</v>
      </c>
      <c r="N145" s="112"/>
      <c r="O145" s="53">
        <f t="shared" si="73"/>
        <v>0</v>
      </c>
      <c r="P145" s="53">
        <f t="shared" si="74"/>
        <v>0</v>
      </c>
      <c r="Q145" s="1"/>
      <c r="R145" s="1"/>
      <c r="S145" s="1"/>
      <c r="T145" s="1"/>
      <c r="U145" s="1"/>
    </row>
    <row r="146" spans="2:21">
      <c r="B146" t="str">
        <f t="shared" si="36"/>
        <v/>
      </c>
      <c r="C146" s="49">
        <f>IF(D94="","-",+C145+1)</f>
        <v>2056</v>
      </c>
      <c r="D146" s="11">
        <f>IF(F145+SUM(E$100:E145)=D$93,F145,D$93-SUM(E$100:E145))</f>
        <v>0</v>
      </c>
      <c r="E146" s="377">
        <f>IF(+J97&lt;F145,J97,D146)</f>
        <v>0</v>
      </c>
      <c r="F146" s="54">
        <f t="shared" si="69"/>
        <v>0</v>
      </c>
      <c r="G146" s="54">
        <f t="shared" si="70"/>
        <v>0</v>
      </c>
      <c r="H146" s="459">
        <f t="shared" si="67"/>
        <v>0</v>
      </c>
      <c r="I146" s="407">
        <f t="shared" si="68"/>
        <v>0</v>
      </c>
      <c r="J146" s="53">
        <f t="shared" si="71"/>
        <v>0</v>
      </c>
      <c r="K146" s="53"/>
      <c r="L146" s="112"/>
      <c r="M146" s="53">
        <f t="shared" si="72"/>
        <v>0</v>
      </c>
      <c r="N146" s="112"/>
      <c r="O146" s="53">
        <f t="shared" si="73"/>
        <v>0</v>
      </c>
      <c r="P146" s="53">
        <f t="shared" si="74"/>
        <v>0</v>
      </c>
      <c r="Q146" s="1"/>
      <c r="R146" s="1"/>
      <c r="S146" s="1"/>
      <c r="T146" s="1"/>
      <c r="U146" s="1"/>
    </row>
    <row r="147" spans="2:21">
      <c r="B147" t="str">
        <f t="shared" si="36"/>
        <v/>
      </c>
      <c r="C147" s="49">
        <f>IF(D94="","-",+C146+1)</f>
        <v>2057</v>
      </c>
      <c r="D147" s="11">
        <f>IF(F146+SUM(E$100:E146)=D$93,F146,D$93-SUM(E$100:E146))</f>
        <v>0</v>
      </c>
      <c r="E147" s="377">
        <f>IF(+J97&lt;F146,J97,D147)</f>
        <v>0</v>
      </c>
      <c r="F147" s="54">
        <f t="shared" si="69"/>
        <v>0</v>
      </c>
      <c r="G147" s="54">
        <f t="shared" si="70"/>
        <v>0</v>
      </c>
      <c r="H147" s="459">
        <f t="shared" si="67"/>
        <v>0</v>
      </c>
      <c r="I147" s="407">
        <f t="shared" si="68"/>
        <v>0</v>
      </c>
      <c r="J147" s="53">
        <f t="shared" si="71"/>
        <v>0</v>
      </c>
      <c r="K147" s="53"/>
      <c r="L147" s="112"/>
      <c r="M147" s="53">
        <f t="shared" si="72"/>
        <v>0</v>
      </c>
      <c r="N147" s="112"/>
      <c r="O147" s="53">
        <f t="shared" si="73"/>
        <v>0</v>
      </c>
      <c r="P147" s="53">
        <f t="shared" si="74"/>
        <v>0</v>
      </c>
      <c r="Q147" s="1"/>
      <c r="R147" s="1"/>
      <c r="S147" s="1"/>
      <c r="T147" s="1"/>
      <c r="U147" s="1"/>
    </row>
    <row r="148" spans="2:21">
      <c r="B148" t="str">
        <f t="shared" si="36"/>
        <v/>
      </c>
      <c r="C148" s="49">
        <f>IF(D94="","-",+C147+1)</f>
        <v>2058</v>
      </c>
      <c r="D148" s="11">
        <f>IF(F147+SUM(E$100:E147)=D$93,F147,D$93-SUM(E$100:E147))</f>
        <v>0</v>
      </c>
      <c r="E148" s="377">
        <f>IF(+J97&lt;F147,J97,D148)</f>
        <v>0</v>
      </c>
      <c r="F148" s="54">
        <f t="shared" si="69"/>
        <v>0</v>
      </c>
      <c r="G148" s="54">
        <f t="shared" si="70"/>
        <v>0</v>
      </c>
      <c r="H148" s="459">
        <f t="shared" si="67"/>
        <v>0</v>
      </c>
      <c r="I148" s="407">
        <f t="shared" si="68"/>
        <v>0</v>
      </c>
      <c r="J148" s="53">
        <f t="shared" si="71"/>
        <v>0</v>
      </c>
      <c r="K148" s="53"/>
      <c r="L148" s="112"/>
      <c r="M148" s="53">
        <f t="shared" si="72"/>
        <v>0</v>
      </c>
      <c r="N148" s="112"/>
      <c r="O148" s="53">
        <f t="shared" si="73"/>
        <v>0</v>
      </c>
      <c r="P148" s="53">
        <f t="shared" si="74"/>
        <v>0</v>
      </c>
      <c r="Q148" s="1"/>
      <c r="R148" s="1"/>
      <c r="S148" s="1"/>
      <c r="T148" s="1"/>
      <c r="U148" s="1"/>
    </row>
    <row r="149" spans="2:21">
      <c r="B149" t="str">
        <f t="shared" si="36"/>
        <v/>
      </c>
      <c r="C149" s="49">
        <f>IF(D94="","-",+C148+1)</f>
        <v>2059</v>
      </c>
      <c r="D149" s="11">
        <f>IF(F148+SUM(E$100:E148)=D$93,F148,D$93-SUM(E$100:E148))</f>
        <v>0</v>
      </c>
      <c r="E149" s="377">
        <f>IF(+J97&lt;F148,J97,D149)</f>
        <v>0</v>
      </c>
      <c r="F149" s="54">
        <f t="shared" si="69"/>
        <v>0</v>
      </c>
      <c r="G149" s="54">
        <f t="shared" si="70"/>
        <v>0</v>
      </c>
      <c r="H149" s="459">
        <f t="shared" si="67"/>
        <v>0</v>
      </c>
      <c r="I149" s="407">
        <f t="shared" si="68"/>
        <v>0</v>
      </c>
      <c r="J149" s="53">
        <f t="shared" si="71"/>
        <v>0</v>
      </c>
      <c r="K149" s="53"/>
      <c r="L149" s="112"/>
      <c r="M149" s="53">
        <f t="shared" si="72"/>
        <v>0</v>
      </c>
      <c r="N149" s="112"/>
      <c r="O149" s="53">
        <f t="shared" si="73"/>
        <v>0</v>
      </c>
      <c r="P149" s="53">
        <f t="shared" si="74"/>
        <v>0</v>
      </c>
      <c r="Q149" s="1"/>
      <c r="R149" s="1"/>
      <c r="S149" s="1"/>
      <c r="T149" s="1"/>
      <c r="U149" s="1"/>
    </row>
    <row r="150" spans="2:21">
      <c r="B150" t="str">
        <f t="shared" si="36"/>
        <v/>
      </c>
      <c r="C150" s="49">
        <f>IF(D94="","-",+C149+1)</f>
        <v>2060</v>
      </c>
      <c r="D150" s="11">
        <f>IF(F149+SUM(E$100:E149)=D$93,F149,D$93-SUM(E$100:E149))</f>
        <v>0</v>
      </c>
      <c r="E150" s="377">
        <f>IF(+J97&lt;F149,J97,D150)</f>
        <v>0</v>
      </c>
      <c r="F150" s="54">
        <f t="shared" si="69"/>
        <v>0</v>
      </c>
      <c r="G150" s="54">
        <f t="shared" si="70"/>
        <v>0</v>
      </c>
      <c r="H150" s="459">
        <f t="shared" si="67"/>
        <v>0</v>
      </c>
      <c r="I150" s="407">
        <f t="shared" si="68"/>
        <v>0</v>
      </c>
      <c r="J150" s="53">
        <f t="shared" si="71"/>
        <v>0</v>
      </c>
      <c r="K150" s="53"/>
      <c r="L150" s="112"/>
      <c r="M150" s="53">
        <f t="shared" si="72"/>
        <v>0</v>
      </c>
      <c r="N150" s="112"/>
      <c r="O150" s="53">
        <f t="shared" si="73"/>
        <v>0</v>
      </c>
      <c r="P150" s="53">
        <f t="shared" si="74"/>
        <v>0</v>
      </c>
      <c r="Q150" s="1"/>
      <c r="R150" s="1"/>
      <c r="S150" s="1"/>
      <c r="T150" s="1"/>
      <c r="U150" s="1"/>
    </row>
    <row r="151" spans="2:21">
      <c r="B151" t="str">
        <f t="shared" si="36"/>
        <v/>
      </c>
      <c r="C151" s="49">
        <f>IF(D94="","-",+C150+1)</f>
        <v>2061</v>
      </c>
      <c r="D151" s="11">
        <f>IF(F150+SUM(E$100:E150)=D$93,F150,D$93-SUM(E$100:E150))</f>
        <v>0</v>
      </c>
      <c r="E151" s="377">
        <f>IF(+J97&lt;F150,J97,D151)</f>
        <v>0</v>
      </c>
      <c r="F151" s="54">
        <f t="shared" si="69"/>
        <v>0</v>
      </c>
      <c r="G151" s="54">
        <f t="shared" si="70"/>
        <v>0</v>
      </c>
      <c r="H151" s="459">
        <f t="shared" si="67"/>
        <v>0</v>
      </c>
      <c r="I151" s="407">
        <f t="shared" si="68"/>
        <v>0</v>
      </c>
      <c r="J151" s="53">
        <f t="shared" si="71"/>
        <v>0</v>
      </c>
      <c r="K151" s="53"/>
      <c r="L151" s="112"/>
      <c r="M151" s="53">
        <f t="shared" si="72"/>
        <v>0</v>
      </c>
      <c r="N151" s="112"/>
      <c r="O151" s="53">
        <f t="shared" si="73"/>
        <v>0</v>
      </c>
      <c r="P151" s="53">
        <f t="shared" si="74"/>
        <v>0</v>
      </c>
      <c r="Q151" s="1"/>
      <c r="R151" s="1"/>
      <c r="S151" s="1"/>
      <c r="T151" s="1"/>
      <c r="U151" s="1"/>
    </row>
    <row r="152" spans="2:21">
      <c r="B152" t="str">
        <f t="shared" si="36"/>
        <v/>
      </c>
      <c r="C152" s="49">
        <f>IF(D94="","-",+C151+1)</f>
        <v>2062</v>
      </c>
      <c r="D152" s="11">
        <f>IF(F151+SUM(E$100:E151)=D$93,F151,D$93-SUM(E$100:E151))</f>
        <v>0</v>
      </c>
      <c r="E152" s="377">
        <f>IF(+J97&lt;F151,J97,D152)</f>
        <v>0</v>
      </c>
      <c r="F152" s="54">
        <f t="shared" si="69"/>
        <v>0</v>
      </c>
      <c r="G152" s="54">
        <f t="shared" si="70"/>
        <v>0</v>
      </c>
      <c r="H152" s="459">
        <f t="shared" si="67"/>
        <v>0</v>
      </c>
      <c r="I152" s="407">
        <f t="shared" si="68"/>
        <v>0</v>
      </c>
      <c r="J152" s="53">
        <f t="shared" si="71"/>
        <v>0</v>
      </c>
      <c r="K152" s="53"/>
      <c r="L152" s="112"/>
      <c r="M152" s="53">
        <f t="shared" si="72"/>
        <v>0</v>
      </c>
      <c r="N152" s="112"/>
      <c r="O152" s="53">
        <f t="shared" si="73"/>
        <v>0</v>
      </c>
      <c r="P152" s="53">
        <f t="shared" si="74"/>
        <v>0</v>
      </c>
      <c r="Q152" s="1"/>
      <c r="R152" s="1"/>
      <c r="S152" s="1"/>
      <c r="T152" s="1"/>
      <c r="U152" s="1"/>
    </row>
    <row r="153" spans="2:21">
      <c r="B153" t="str">
        <f t="shared" si="36"/>
        <v/>
      </c>
      <c r="C153" s="49">
        <f>IF(D94="","-",+C152+1)</f>
        <v>2063</v>
      </c>
      <c r="D153" s="11">
        <f>IF(F152+SUM(E$100:E152)=D$93,F152,D$93-SUM(E$100:E152))</f>
        <v>0</v>
      </c>
      <c r="E153" s="377">
        <f>IF(+J97&lt;F152,J97,D153)</f>
        <v>0</v>
      </c>
      <c r="F153" s="54">
        <f t="shared" si="69"/>
        <v>0</v>
      </c>
      <c r="G153" s="54">
        <f t="shared" si="70"/>
        <v>0</v>
      </c>
      <c r="H153" s="459">
        <f t="shared" si="67"/>
        <v>0</v>
      </c>
      <c r="I153" s="407">
        <f t="shared" si="68"/>
        <v>0</v>
      </c>
      <c r="J153" s="53">
        <f t="shared" si="71"/>
        <v>0</v>
      </c>
      <c r="K153" s="53"/>
      <c r="L153" s="112"/>
      <c r="M153" s="53">
        <f t="shared" si="72"/>
        <v>0</v>
      </c>
      <c r="N153" s="112"/>
      <c r="O153" s="53">
        <f t="shared" si="73"/>
        <v>0</v>
      </c>
      <c r="P153" s="53">
        <f t="shared" si="74"/>
        <v>0</v>
      </c>
      <c r="Q153" s="1"/>
      <c r="R153" s="1"/>
      <c r="S153" s="1"/>
      <c r="T153" s="1"/>
      <c r="U153" s="1"/>
    </row>
    <row r="154" spans="2:21">
      <c r="B154" t="str">
        <f t="shared" si="36"/>
        <v/>
      </c>
      <c r="C154" s="49">
        <f>IF(D94="","-",+C153+1)</f>
        <v>2064</v>
      </c>
      <c r="D154" s="11">
        <f>IF(F153+SUM(E$100:E153)=D$93,F153,D$93-SUM(E$100:E153))</f>
        <v>0</v>
      </c>
      <c r="E154" s="377">
        <f>IF(+J97&lt;F153,J97,D154)</f>
        <v>0</v>
      </c>
      <c r="F154" s="54">
        <f t="shared" si="69"/>
        <v>0</v>
      </c>
      <c r="G154" s="54">
        <f t="shared" si="70"/>
        <v>0</v>
      </c>
      <c r="H154" s="459">
        <f t="shared" si="67"/>
        <v>0</v>
      </c>
      <c r="I154" s="407">
        <f t="shared" si="68"/>
        <v>0</v>
      </c>
      <c r="J154" s="53">
        <f t="shared" si="71"/>
        <v>0</v>
      </c>
      <c r="K154" s="53"/>
      <c r="L154" s="112"/>
      <c r="M154" s="53">
        <f t="shared" si="72"/>
        <v>0</v>
      </c>
      <c r="N154" s="112"/>
      <c r="O154" s="53">
        <f t="shared" si="73"/>
        <v>0</v>
      </c>
      <c r="P154" s="53">
        <f t="shared" si="74"/>
        <v>0</v>
      </c>
      <c r="Q154" s="1"/>
      <c r="R154" s="1"/>
      <c r="S154" s="1"/>
      <c r="T154" s="1"/>
      <c r="U154" s="1"/>
    </row>
    <row r="155" spans="2:21" ht="13.5" thickBot="1">
      <c r="B155" t="str">
        <f t="shared" si="36"/>
        <v/>
      </c>
      <c r="C155" s="58">
        <f>IF(D94="","-",+C154+1)</f>
        <v>2065</v>
      </c>
      <c r="D155" s="59">
        <f>IF(F154+SUM(E$100:E154)=D$93,F154,D$93-SUM(E$100:E154))</f>
        <v>0</v>
      </c>
      <c r="E155" s="389">
        <f>IF(+J97&lt;F154,J97,D155)</f>
        <v>0</v>
      </c>
      <c r="F155" s="59">
        <f t="shared" si="69"/>
        <v>0</v>
      </c>
      <c r="G155" s="59">
        <f t="shared" si="70"/>
        <v>0</v>
      </c>
      <c r="H155" s="459">
        <f t="shared" si="67"/>
        <v>0</v>
      </c>
      <c r="I155" s="408">
        <f t="shared" si="68"/>
        <v>0</v>
      </c>
      <c r="J155" s="63">
        <f t="shared" si="71"/>
        <v>0</v>
      </c>
      <c r="K155" s="53"/>
      <c r="L155" s="113"/>
      <c r="M155" s="63">
        <f t="shared" si="72"/>
        <v>0</v>
      </c>
      <c r="N155" s="113"/>
      <c r="O155" s="63">
        <f t="shared" si="73"/>
        <v>0</v>
      </c>
      <c r="P155" s="63">
        <f t="shared" si="74"/>
        <v>0</v>
      </c>
      <c r="Q155" s="1"/>
      <c r="R155" s="1"/>
      <c r="S155" s="1"/>
      <c r="T155" s="1"/>
      <c r="U155" s="1"/>
    </row>
    <row r="156" spans="2:21">
      <c r="C156" s="11" t="s">
        <v>75</v>
      </c>
      <c r="D156" s="242"/>
      <c r="E156" s="242">
        <f>SUM(E100:E155)</f>
        <v>985777</v>
      </c>
      <c r="F156" s="242"/>
      <c r="G156" s="242"/>
      <c r="H156" s="242">
        <f>SUM(H100:H155)</f>
        <v>2946675.8134384793</v>
      </c>
      <c r="I156" s="242">
        <f>SUM(I100:I155)</f>
        <v>2946675.8134384793</v>
      </c>
      <c r="J156" s="242">
        <f>SUM(J100:J155)</f>
        <v>0</v>
      </c>
      <c r="K156" s="242"/>
      <c r="L156" s="242"/>
      <c r="M156" s="242"/>
      <c r="N156" s="242"/>
      <c r="O156" s="242"/>
      <c r="P156" s="1"/>
      <c r="Q156" s="1"/>
      <c r="R156" s="1"/>
      <c r="S156" s="1"/>
      <c r="T156" s="1"/>
      <c r="U156" s="1"/>
    </row>
    <row r="157" spans="2:21">
      <c r="D157" s="2"/>
      <c r="E157" s="1"/>
      <c r="F157" s="1"/>
      <c r="G157" s="1"/>
      <c r="H157" s="1"/>
      <c r="I157" s="260"/>
      <c r="J157" s="260"/>
      <c r="K157" s="242"/>
      <c r="L157" s="260"/>
      <c r="M157" s="260"/>
      <c r="N157" s="260"/>
      <c r="O157" s="260"/>
      <c r="P157" s="1"/>
      <c r="Q157" s="1"/>
      <c r="R157" s="1"/>
      <c r="S157" s="1"/>
      <c r="T157" s="1"/>
      <c r="U157" s="1"/>
    </row>
    <row r="158" spans="2:21">
      <c r="C158" s="83" t="s">
        <v>90</v>
      </c>
      <c r="D158" s="2"/>
      <c r="E158" s="1"/>
      <c r="F158" s="1"/>
      <c r="G158" s="1"/>
      <c r="H158" s="1"/>
      <c r="I158" s="260"/>
      <c r="J158" s="260"/>
      <c r="K158" s="242"/>
      <c r="L158" s="260"/>
      <c r="M158" s="260"/>
      <c r="N158" s="260"/>
      <c r="O158" s="260"/>
      <c r="P158" s="1"/>
      <c r="Q158" s="1"/>
      <c r="R158" s="1"/>
      <c r="S158" s="1"/>
      <c r="T158" s="1"/>
      <c r="U158" s="1"/>
    </row>
    <row r="159" spans="2:21">
      <c r="D159" s="2"/>
      <c r="E159" s="1"/>
      <c r="F159" s="1"/>
      <c r="G159" s="1"/>
      <c r="H159" s="1"/>
      <c r="I159" s="260"/>
      <c r="J159" s="260"/>
      <c r="K159" s="242"/>
      <c r="L159" s="260"/>
      <c r="M159" s="260"/>
      <c r="N159" s="260"/>
      <c r="O159" s="260"/>
      <c r="P159" s="1"/>
      <c r="Q159" s="1"/>
      <c r="R159" s="1"/>
      <c r="S159" s="1"/>
      <c r="T159" s="1"/>
      <c r="U159" s="1"/>
    </row>
    <row r="160" spans="2:21">
      <c r="C160" s="29" t="s">
        <v>96</v>
      </c>
      <c r="D160" s="11"/>
      <c r="E160" s="11"/>
      <c r="F160" s="11"/>
      <c r="G160" s="11"/>
      <c r="H160" s="242"/>
      <c r="I160" s="242"/>
      <c r="J160" s="64"/>
      <c r="K160" s="64"/>
      <c r="L160" s="64"/>
      <c r="M160" s="64"/>
      <c r="N160" s="64"/>
      <c r="O160" s="64"/>
      <c r="P160" s="1"/>
      <c r="Q160" s="1"/>
      <c r="R160" s="1"/>
      <c r="S160" s="1"/>
      <c r="T160" s="1"/>
      <c r="U160" s="1"/>
    </row>
    <row r="161" spans="3:21">
      <c r="C161" s="84" t="s">
        <v>76</v>
      </c>
      <c r="D161" s="11"/>
      <c r="E161" s="11"/>
      <c r="F161" s="11"/>
      <c r="G161" s="11"/>
      <c r="H161" s="242"/>
      <c r="I161" s="242"/>
      <c r="J161" s="64"/>
      <c r="K161" s="64"/>
      <c r="L161" s="64"/>
      <c r="M161" s="64"/>
      <c r="N161" s="64"/>
      <c r="O161" s="64"/>
      <c r="P161" s="1"/>
      <c r="Q161" s="1"/>
      <c r="R161" s="1"/>
      <c r="S161" s="1"/>
      <c r="T161" s="1"/>
      <c r="U161" s="1"/>
    </row>
    <row r="162" spans="3:21">
      <c r="C162" s="84" t="s">
        <v>77</v>
      </c>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phoneticPr fontId="0" type="noConversion"/>
  <conditionalFormatting sqref="C17:C73">
    <cfRule type="cellIs" dxfId="51" priority="1" stopIfTrue="1" operator="equal">
      <formula>$I$10</formula>
    </cfRule>
  </conditionalFormatting>
  <conditionalFormatting sqref="C100:C155">
    <cfRule type="cellIs" dxfId="50"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1"/>
  <dimension ref="A1:U163"/>
  <sheetViews>
    <sheetView topLeftCell="A66" zoomScaleNormal="100" zoomScaleSheetLayoutView="85" workbookViewId="0">
      <selection activeCell="D93" sqref="D93"/>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8.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3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t="str">
        <f>"For Calendar Year "&amp;V1-1&amp;" and Projected Year "&amp;V1</f>
        <v xml:space="preserve">For Calendar Year -1 and Projected Year </v>
      </c>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66992.539642384814</v>
      </c>
      <c r="P5" s="1"/>
      <c r="R5" s="1"/>
      <c r="S5" s="1"/>
      <c r="T5" s="1"/>
      <c r="U5" s="1"/>
    </row>
    <row r="6" spans="1:21" ht="15.75">
      <c r="C6" s="6"/>
      <c r="D6" s="2"/>
      <c r="E6" s="1"/>
      <c r="F6" s="1"/>
      <c r="G6" s="1"/>
      <c r="H6" s="351"/>
      <c r="I6" s="351"/>
      <c r="J6" s="352"/>
      <c r="K6" s="22" t="s">
        <v>243</v>
      </c>
      <c r="L6" s="353"/>
      <c r="M6" s="1"/>
      <c r="N6" s="354">
        <f>VLOOKUP(I10,C17:I73,6)</f>
        <v>66992.539642384814</v>
      </c>
      <c r="O6" s="1"/>
      <c r="P6" s="1"/>
      <c r="R6" s="1"/>
      <c r="S6" s="1"/>
      <c r="T6" s="1"/>
      <c r="U6" s="1"/>
    </row>
    <row r="7" spans="1:21" ht="13.5" thickBot="1">
      <c r="C7" s="25" t="s">
        <v>46</v>
      </c>
      <c r="D7" s="96" t="s">
        <v>199</v>
      </c>
      <c r="E7" s="1"/>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198</v>
      </c>
      <c r="E9" s="31" t="s">
        <v>311</v>
      </c>
      <c r="F9" s="526">
        <v>937</v>
      </c>
      <c r="G9" s="31"/>
      <c r="H9" s="31"/>
      <c r="I9" s="32"/>
      <c r="J9" s="33"/>
      <c r="P9" s="1"/>
      <c r="R9" s="1"/>
      <c r="S9" s="1"/>
      <c r="T9" s="1"/>
      <c r="U9" s="1"/>
    </row>
    <row r="10" spans="1:21">
      <c r="C10" s="34" t="s">
        <v>49</v>
      </c>
      <c r="D10" s="358">
        <v>614753</v>
      </c>
      <c r="E10" s="1" t="s">
        <v>50</v>
      </c>
      <c r="G10" s="2"/>
      <c r="H10" s="2"/>
      <c r="I10" s="36">
        <f>+'OKT.WS.F.BPU.ATRR.Projected'!R100</f>
        <v>2025</v>
      </c>
      <c r="J10" s="33"/>
      <c r="K10" s="242" t="s">
        <v>51</v>
      </c>
      <c r="O10" s="1"/>
      <c r="P10" s="1"/>
      <c r="R10" s="1"/>
      <c r="S10" s="1"/>
      <c r="T10" s="1"/>
      <c r="U10" s="1"/>
    </row>
    <row r="11" spans="1:21">
      <c r="C11" s="34" t="s">
        <v>52</v>
      </c>
      <c r="D11" s="37">
        <v>2011</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10</v>
      </c>
      <c r="E12" s="34" t="s">
        <v>55</v>
      </c>
      <c r="F12" s="2"/>
      <c r="I12" s="40">
        <f>'OKT.WS.F.BPU.ATRR.Projected'!$F$78</f>
        <v>0.11444992740144029</v>
      </c>
      <c r="J12" s="11"/>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20491.766666666666</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49" si="0">IF(D17=F16,"","IU")</f>
        <v>IU</v>
      </c>
      <c r="C17" s="49">
        <f>IF(D11= "","-",D11)</f>
        <v>2011</v>
      </c>
      <c r="D17" s="371">
        <v>956000</v>
      </c>
      <c r="E17" s="372">
        <v>1378.1704053213118</v>
      </c>
      <c r="F17" s="371">
        <v>954621.82959467871</v>
      </c>
      <c r="G17" s="373">
        <v>125484.70184654166</v>
      </c>
      <c r="H17" s="374">
        <v>125484.70184654166</v>
      </c>
      <c r="I17" s="51">
        <f>H17-G17</f>
        <v>0</v>
      </c>
      <c r="J17" s="64"/>
      <c r="K17" s="376">
        <f t="shared" ref="K17:K22" si="1">G17</f>
        <v>125484.70184654166</v>
      </c>
      <c r="L17" s="64">
        <f t="shared" ref="L17:L49" si="2">IF(K17&lt;&gt;0,+G17-K17,0)</f>
        <v>0</v>
      </c>
      <c r="M17" s="376">
        <f t="shared" ref="M17:M22" si="3">H17</f>
        <v>125484.70184654166</v>
      </c>
      <c r="N17" s="413">
        <f t="shared" ref="N17:N49" si="4">IF(M17&lt;&gt;0,+H17-M17,0)</f>
        <v>0</v>
      </c>
      <c r="O17" s="53">
        <f t="shared" ref="O17:O49" si="5">+N17-L17</f>
        <v>0</v>
      </c>
      <c r="P17" s="1"/>
      <c r="R17" s="1"/>
      <c r="S17" s="1"/>
      <c r="T17" s="1"/>
      <c r="U17" s="1"/>
    </row>
    <row r="18" spans="2:21">
      <c r="B18" t="str">
        <f t="shared" si="0"/>
        <v/>
      </c>
      <c r="C18" s="49">
        <f>IF(D11="","-",+C17+1)</f>
        <v>2012</v>
      </c>
      <c r="D18" s="375">
        <v>954621.82959467871</v>
      </c>
      <c r="E18" s="373">
        <v>10633.668760887396</v>
      </c>
      <c r="F18" s="375">
        <v>943988.16083379136</v>
      </c>
      <c r="G18" s="373">
        <v>101867.32341201812</v>
      </c>
      <c r="H18" s="374">
        <v>101867.32341201812</v>
      </c>
      <c r="I18" s="51">
        <v>0</v>
      </c>
      <c r="J18" s="64"/>
      <c r="K18" s="376">
        <f t="shared" si="1"/>
        <v>101867.32341201812</v>
      </c>
      <c r="L18" s="64">
        <f t="shared" si="2"/>
        <v>0</v>
      </c>
      <c r="M18" s="376">
        <f t="shared" si="3"/>
        <v>101867.32341201812</v>
      </c>
      <c r="N18" s="51">
        <f t="shared" si="4"/>
        <v>0</v>
      </c>
      <c r="O18" s="53">
        <f t="shared" si="5"/>
        <v>0</v>
      </c>
      <c r="P18" s="1"/>
      <c r="R18" s="1"/>
      <c r="S18" s="1"/>
      <c r="T18" s="1"/>
      <c r="U18" s="1"/>
    </row>
    <row r="19" spans="2:21">
      <c r="B19" t="str">
        <f t="shared" si="0"/>
        <v>IU</v>
      </c>
      <c r="C19" s="49">
        <f>IF(D11="","-",+C18+1)</f>
        <v>2013</v>
      </c>
      <c r="D19" s="375">
        <v>602741.16083379125</v>
      </c>
      <c r="E19" s="373">
        <v>10634.741311914131</v>
      </c>
      <c r="F19" s="375">
        <v>592106.41952187708</v>
      </c>
      <c r="G19" s="373">
        <v>75317.164005617815</v>
      </c>
      <c r="H19" s="374">
        <v>75317.164005617815</v>
      </c>
      <c r="I19" s="51">
        <v>0</v>
      </c>
      <c r="J19" s="64"/>
      <c r="K19" s="376">
        <f t="shared" si="1"/>
        <v>75317.164005617815</v>
      </c>
      <c r="L19" s="64">
        <f t="shared" ref="L19:L24" si="6">IF(K19&lt;&gt;0,+G19-K19,0)</f>
        <v>0</v>
      </c>
      <c r="M19" s="376">
        <f t="shared" si="3"/>
        <v>75317.164005617815</v>
      </c>
      <c r="N19" s="51">
        <f>IF(M19&lt;&gt;0,+H19-M19,0)</f>
        <v>0</v>
      </c>
      <c r="O19" s="53">
        <f>+N19-L19</f>
        <v>0</v>
      </c>
      <c r="P19" s="1"/>
      <c r="R19" s="1"/>
      <c r="S19" s="1"/>
      <c r="T19" s="1"/>
      <c r="U19" s="1"/>
    </row>
    <row r="20" spans="2:21">
      <c r="B20" t="str">
        <f t="shared" si="0"/>
        <v/>
      </c>
      <c r="C20" s="49">
        <f>IF(D11="","-",+C19+1)</f>
        <v>2014</v>
      </c>
      <c r="D20" s="375">
        <v>592106.41952187708</v>
      </c>
      <c r="E20" s="373">
        <v>10634.741311914131</v>
      </c>
      <c r="F20" s="375">
        <v>581471.67820996291</v>
      </c>
      <c r="G20" s="373">
        <v>74612.516014807363</v>
      </c>
      <c r="H20" s="374">
        <v>74612.516014807363</v>
      </c>
      <c r="I20" s="51">
        <v>0</v>
      </c>
      <c r="J20" s="64"/>
      <c r="K20" s="376">
        <f t="shared" si="1"/>
        <v>74612.516014807363</v>
      </c>
      <c r="L20" s="64">
        <f t="shared" si="6"/>
        <v>0</v>
      </c>
      <c r="M20" s="376">
        <f t="shared" si="3"/>
        <v>74612.516014807363</v>
      </c>
      <c r="N20" s="51">
        <f>IF(M20&lt;&gt;0,+H20-M20,0)</f>
        <v>0</v>
      </c>
      <c r="O20" s="53">
        <f>+N20-L20</f>
        <v>0</v>
      </c>
      <c r="P20" s="1"/>
      <c r="R20" s="1"/>
      <c r="S20" s="1"/>
      <c r="T20" s="1"/>
      <c r="U20" s="1"/>
    </row>
    <row r="21" spans="2:21">
      <c r="B21" t="str">
        <f t="shared" si="0"/>
        <v/>
      </c>
      <c r="C21" s="49">
        <f>IF(D12="","-",+C20+1)</f>
        <v>2015</v>
      </c>
      <c r="D21" s="375">
        <v>581471.67820996291</v>
      </c>
      <c r="E21" s="373">
        <v>10634.741311914131</v>
      </c>
      <c r="F21" s="375">
        <v>570836.93689804873</v>
      </c>
      <c r="G21" s="373">
        <v>69468.300328468598</v>
      </c>
      <c r="H21" s="374">
        <v>69468.300328468569</v>
      </c>
      <c r="I21" s="51">
        <v>0</v>
      </c>
      <c r="J21" s="64"/>
      <c r="K21" s="376">
        <f t="shared" si="1"/>
        <v>69468.300328468598</v>
      </c>
      <c r="L21" s="64">
        <f t="shared" si="6"/>
        <v>0</v>
      </c>
      <c r="M21" s="376">
        <f t="shared" si="3"/>
        <v>69468.300328468569</v>
      </c>
      <c r="N21" s="51">
        <f>IF(M21&lt;&gt;0,+H21-M21,0)</f>
        <v>0</v>
      </c>
      <c r="O21" s="53">
        <f>+N21-L21</f>
        <v>0</v>
      </c>
      <c r="P21" s="1"/>
      <c r="R21" s="1"/>
      <c r="S21" s="1"/>
      <c r="T21" s="1"/>
      <c r="U21" s="1"/>
    </row>
    <row r="22" spans="2:21">
      <c r="B22" t="str">
        <f t="shared" si="0"/>
        <v/>
      </c>
      <c r="C22" s="49">
        <f>IF(D11="","-",+C21+1)</f>
        <v>2016</v>
      </c>
      <c r="D22" s="375">
        <v>570836.93689804873</v>
      </c>
      <c r="E22" s="373">
        <v>12774.231778414165</v>
      </c>
      <c r="F22" s="375">
        <v>558062.70511963451</v>
      </c>
      <c r="G22" s="373">
        <v>72978.242931137109</v>
      </c>
      <c r="H22" s="374">
        <v>72978.242931137109</v>
      </c>
      <c r="I22" s="51">
        <f t="shared" ref="I22:I49" si="7">H22-G22</f>
        <v>0</v>
      </c>
      <c r="J22" s="51"/>
      <c r="K22" s="376">
        <f t="shared" si="1"/>
        <v>72978.242931137109</v>
      </c>
      <c r="L22" s="64">
        <f t="shared" si="6"/>
        <v>0</v>
      </c>
      <c r="M22" s="376">
        <f t="shared" si="3"/>
        <v>72978.242931137109</v>
      </c>
      <c r="N22" s="51">
        <f t="shared" si="4"/>
        <v>0</v>
      </c>
      <c r="O22" s="53">
        <f t="shared" si="5"/>
        <v>0</v>
      </c>
      <c r="P22" s="1"/>
      <c r="R22" s="1"/>
      <c r="S22" s="1"/>
      <c r="T22" s="1"/>
      <c r="U22" s="1"/>
    </row>
    <row r="23" spans="2:21">
      <c r="B23" t="str">
        <f t="shared" si="0"/>
        <v/>
      </c>
      <c r="C23" s="49">
        <f>IF(D11="","-",+C22+1)</f>
        <v>2017</v>
      </c>
      <c r="D23" s="375">
        <v>558062.70511963451</v>
      </c>
      <c r="E23" s="373">
        <v>12087.261057971307</v>
      </c>
      <c r="F23" s="375">
        <v>545975.44406166323</v>
      </c>
      <c r="G23" s="373">
        <v>72776.222858216002</v>
      </c>
      <c r="H23" s="374">
        <v>72776.222858216002</v>
      </c>
      <c r="I23" s="51">
        <f t="shared" si="7"/>
        <v>0</v>
      </c>
      <c r="J23" s="51"/>
      <c r="K23" s="376">
        <f t="shared" ref="K23:K28" si="8">G23</f>
        <v>72776.222858216002</v>
      </c>
      <c r="L23" s="64">
        <f t="shared" si="6"/>
        <v>0</v>
      </c>
      <c r="M23" s="376">
        <f t="shared" ref="M23:M28" si="9">H23</f>
        <v>72776.222858216002</v>
      </c>
      <c r="N23" s="51">
        <f>IF(M23&lt;&gt;0,+H23-M23,0)</f>
        <v>0</v>
      </c>
      <c r="O23" s="53">
        <f>+N23-L23</f>
        <v>0</v>
      </c>
      <c r="P23" s="1"/>
      <c r="R23" s="1"/>
      <c r="S23" s="1"/>
      <c r="T23" s="1"/>
      <c r="U23" s="1"/>
    </row>
    <row r="24" spans="2:21">
      <c r="B24" t="str">
        <f t="shared" si="0"/>
        <v/>
      </c>
      <c r="C24" s="49">
        <f>IF(D11="","-",+C23+1)</f>
        <v>2018</v>
      </c>
      <c r="D24" s="375">
        <v>545975.44406166323</v>
      </c>
      <c r="E24" s="373">
        <v>15076.56031908646</v>
      </c>
      <c r="F24" s="375">
        <v>530898.88374257681</v>
      </c>
      <c r="G24" s="373">
        <v>69794.510007934223</v>
      </c>
      <c r="H24" s="374">
        <v>69794.510007934223</v>
      </c>
      <c r="I24" s="51">
        <v>0</v>
      </c>
      <c r="J24" s="51"/>
      <c r="K24" s="376">
        <f t="shared" si="8"/>
        <v>69794.510007934223</v>
      </c>
      <c r="L24" s="64">
        <f t="shared" si="6"/>
        <v>0</v>
      </c>
      <c r="M24" s="376">
        <f t="shared" si="9"/>
        <v>69794.510007934223</v>
      </c>
      <c r="N24" s="51">
        <f>IF(M24&lt;&gt;0,+H24-M24,0)</f>
        <v>0</v>
      </c>
      <c r="O24" s="53">
        <f>+N24-L24</f>
        <v>0</v>
      </c>
      <c r="P24" s="1"/>
      <c r="R24" s="1"/>
      <c r="S24" s="1"/>
      <c r="T24" s="1"/>
      <c r="U24" s="1"/>
    </row>
    <row r="25" spans="2:21">
      <c r="B25" t="str">
        <f t="shared" si="0"/>
        <v/>
      </c>
      <c r="C25" s="49">
        <f>IF(D11="","-",+C24+1)</f>
        <v>2019</v>
      </c>
      <c r="D25" s="375">
        <v>530898.88374257681</v>
      </c>
      <c r="E25" s="373">
        <v>18232.865121942861</v>
      </c>
      <c r="F25" s="375">
        <v>512666.01862063393</v>
      </c>
      <c r="G25" s="373">
        <v>72464.827452468948</v>
      </c>
      <c r="H25" s="374">
        <v>72464.827452468948</v>
      </c>
      <c r="I25" s="51">
        <f t="shared" si="7"/>
        <v>0</v>
      </c>
      <c r="J25" s="51"/>
      <c r="K25" s="376">
        <f t="shared" si="8"/>
        <v>72464.827452468948</v>
      </c>
      <c r="L25" s="64">
        <f t="shared" ref="L25" si="10">IF(K25&lt;&gt;0,+G25-K25,0)</f>
        <v>0</v>
      </c>
      <c r="M25" s="376">
        <f t="shared" si="9"/>
        <v>72464.827452468948</v>
      </c>
      <c r="N25" s="51">
        <f>IF(M25&lt;&gt;0,+H25-M25,0)</f>
        <v>0</v>
      </c>
      <c r="O25" s="53">
        <f>+N25-L25</f>
        <v>0</v>
      </c>
      <c r="P25" s="1"/>
      <c r="R25" s="1"/>
      <c r="S25" s="1"/>
      <c r="T25" s="1"/>
      <c r="U25" s="1"/>
    </row>
    <row r="26" spans="2:21">
      <c r="B26" t="str">
        <f t="shared" si="0"/>
        <v>IU</v>
      </c>
      <c r="C26" s="49">
        <f>IF(D11="","-",+C25+1)</f>
        <v>2020</v>
      </c>
      <c r="D26" s="375">
        <v>515822.32342349034</v>
      </c>
      <c r="E26" s="373">
        <v>18001.062389209259</v>
      </c>
      <c r="F26" s="375">
        <v>497821.26103428105</v>
      </c>
      <c r="G26" s="373">
        <v>71183.123031214564</v>
      </c>
      <c r="H26" s="374">
        <v>71183.123031214564</v>
      </c>
      <c r="I26" s="51">
        <f t="shared" si="7"/>
        <v>0</v>
      </c>
      <c r="J26" s="51"/>
      <c r="K26" s="376">
        <f t="shared" si="8"/>
        <v>71183.123031214564</v>
      </c>
      <c r="L26" s="64">
        <f t="shared" ref="L26" si="11">IF(K26&lt;&gt;0,+G26-K26,0)</f>
        <v>0</v>
      </c>
      <c r="M26" s="376">
        <f t="shared" si="9"/>
        <v>71183.123031214564</v>
      </c>
      <c r="N26" s="53">
        <f t="shared" si="4"/>
        <v>0</v>
      </c>
      <c r="O26" s="53">
        <f t="shared" si="5"/>
        <v>0</v>
      </c>
      <c r="P26" s="1"/>
      <c r="R26" s="1"/>
      <c r="S26" s="1"/>
      <c r="T26" s="1"/>
      <c r="U26" s="1"/>
    </row>
    <row r="27" spans="2:21">
      <c r="B27" t="str">
        <f t="shared" si="0"/>
        <v>IU</v>
      </c>
      <c r="C27" s="49">
        <f>IF(D11="","-",+C26+1)</f>
        <v>2021</v>
      </c>
      <c r="D27" s="375">
        <v>494664.95623142482</v>
      </c>
      <c r="E27" s="373">
        <v>19830.741935483871</v>
      </c>
      <c r="F27" s="375">
        <v>474834.21429594094</v>
      </c>
      <c r="G27" s="373">
        <v>72273.408385464543</v>
      </c>
      <c r="H27" s="374">
        <v>72273.408385464543</v>
      </c>
      <c r="I27" s="51">
        <f t="shared" si="7"/>
        <v>0</v>
      </c>
      <c r="J27" s="51"/>
      <c r="K27" s="376">
        <f t="shared" si="8"/>
        <v>72273.408385464543</v>
      </c>
      <c r="L27" s="64">
        <f t="shared" ref="L27" si="12">IF(K27&lt;&gt;0,+G27-K27,0)</f>
        <v>0</v>
      </c>
      <c r="M27" s="376">
        <f t="shared" si="9"/>
        <v>72273.408385464543</v>
      </c>
      <c r="N27" s="53">
        <f t="shared" si="4"/>
        <v>0</v>
      </c>
      <c r="O27" s="53">
        <f t="shared" si="5"/>
        <v>0</v>
      </c>
      <c r="P27" s="1"/>
      <c r="R27" s="1"/>
      <c r="S27" s="1"/>
      <c r="T27" s="1"/>
      <c r="U27" s="1"/>
    </row>
    <row r="28" spans="2:21">
      <c r="B28" t="str">
        <f t="shared" si="0"/>
        <v/>
      </c>
      <c r="C28" s="49">
        <f>IF(D11="","-",+C27+1)</f>
        <v>2022</v>
      </c>
      <c r="D28" s="375">
        <v>474834.21429594094</v>
      </c>
      <c r="E28" s="373">
        <v>18628.878787878788</v>
      </c>
      <c r="F28" s="375">
        <v>456205.33550806215</v>
      </c>
      <c r="G28" s="373">
        <v>72051.357380752626</v>
      </c>
      <c r="H28" s="374">
        <v>72051.357380752626</v>
      </c>
      <c r="I28" s="51">
        <f t="shared" si="7"/>
        <v>0</v>
      </c>
      <c r="J28" s="51"/>
      <c r="K28" s="376">
        <f t="shared" si="8"/>
        <v>72051.357380752626</v>
      </c>
      <c r="L28" s="64">
        <f t="shared" ref="L28" si="13">IF(K28&lt;&gt;0,+G28-K28,0)</f>
        <v>0</v>
      </c>
      <c r="M28" s="376">
        <f t="shared" si="9"/>
        <v>72051.357380752626</v>
      </c>
      <c r="N28" s="53">
        <f t="shared" si="4"/>
        <v>0</v>
      </c>
      <c r="O28" s="53">
        <f t="shared" si="5"/>
        <v>0</v>
      </c>
      <c r="P28" s="1"/>
      <c r="R28" s="1"/>
      <c r="S28" s="1"/>
      <c r="T28" s="1"/>
      <c r="U28" s="1"/>
    </row>
    <row r="29" spans="2:21">
      <c r="B29" t="str">
        <f t="shared" si="0"/>
        <v/>
      </c>
      <c r="C29" s="49">
        <f>IF(D11="","-",+C28+1)</f>
        <v>2023</v>
      </c>
      <c r="D29" s="375">
        <v>456205.33550806215</v>
      </c>
      <c r="E29" s="373">
        <v>19830.741935483871</v>
      </c>
      <c r="F29" s="375">
        <v>436374.59357257828</v>
      </c>
      <c r="G29" s="373">
        <v>70276.170801443019</v>
      </c>
      <c r="H29" s="374">
        <v>70276.170801443019</v>
      </c>
      <c r="I29" s="51">
        <f t="shared" si="7"/>
        <v>0</v>
      </c>
      <c r="J29" s="51"/>
      <c r="K29" s="376">
        <f t="shared" ref="K29" si="14">G29</f>
        <v>70276.170801443019</v>
      </c>
      <c r="L29" s="64">
        <f t="shared" ref="L29" si="15">IF(K29&lt;&gt;0,+G29-K29,0)</f>
        <v>0</v>
      </c>
      <c r="M29" s="376">
        <f t="shared" ref="M29" si="16">H29</f>
        <v>70276.170801443019</v>
      </c>
      <c r="N29" s="53">
        <f t="shared" si="4"/>
        <v>0</v>
      </c>
      <c r="O29" s="53">
        <f t="shared" si="5"/>
        <v>0</v>
      </c>
      <c r="P29" s="1"/>
      <c r="R29" s="1"/>
      <c r="S29" s="1"/>
      <c r="T29" s="1"/>
      <c r="U29" s="1"/>
    </row>
    <row r="30" spans="2:21">
      <c r="B30" t="str">
        <f t="shared" si="0"/>
        <v/>
      </c>
      <c r="C30" s="49">
        <f>IF(D11="","-",+C29+1)</f>
        <v>2024</v>
      </c>
      <c r="D30" s="375">
        <v>436374.59357257828</v>
      </c>
      <c r="E30" s="373">
        <v>19830.741935483871</v>
      </c>
      <c r="F30" s="375">
        <v>416543.8516370944</v>
      </c>
      <c r="G30" s="373">
        <v>68417.937639816315</v>
      </c>
      <c r="H30" s="374">
        <v>68417.937639816315</v>
      </c>
      <c r="I30" s="51">
        <f t="shared" si="7"/>
        <v>0</v>
      </c>
      <c r="J30" s="51"/>
      <c r="K30" s="376">
        <f t="shared" ref="K30" si="17">G30</f>
        <v>68417.937639816315</v>
      </c>
      <c r="L30" s="64">
        <f t="shared" ref="L30" si="18">IF(K30&lt;&gt;0,+G30-K30,0)</f>
        <v>0</v>
      </c>
      <c r="M30" s="376">
        <f t="shared" ref="M30" si="19">H30</f>
        <v>68417.937639816315</v>
      </c>
      <c r="N30" s="53">
        <f t="shared" ref="N30" si="20">IF(M30&lt;&gt;0,+H30-M30,0)</f>
        <v>0</v>
      </c>
      <c r="O30" s="53">
        <f t="shared" ref="O30" si="21">+N30-L30</f>
        <v>0</v>
      </c>
      <c r="P30" s="1"/>
      <c r="R30" s="1"/>
      <c r="S30" s="1"/>
      <c r="T30" s="1"/>
      <c r="U30" s="1"/>
    </row>
    <row r="31" spans="2:21">
      <c r="B31" t="str">
        <f t="shared" si="0"/>
        <v/>
      </c>
      <c r="C31" s="49">
        <f>IF(D11="","-",+C30+1)</f>
        <v>2025</v>
      </c>
      <c r="D31" s="375">
        <v>416543.8516370944</v>
      </c>
      <c r="E31" s="373">
        <v>20491.766666666666</v>
      </c>
      <c r="F31" s="375">
        <v>396052.08497042774</v>
      </c>
      <c r="G31" s="373">
        <v>66992.539642384814</v>
      </c>
      <c r="H31" s="374">
        <v>66992.539642384814</v>
      </c>
      <c r="I31" s="51">
        <f t="shared" si="7"/>
        <v>0</v>
      </c>
      <c r="J31" s="64"/>
      <c r="K31" s="376">
        <f t="shared" ref="K31" si="22">G31</f>
        <v>66992.539642384814</v>
      </c>
      <c r="L31" s="64">
        <f t="shared" ref="L31" si="23">IF(K31&lt;&gt;0,+G31-K31,0)</f>
        <v>0</v>
      </c>
      <c r="M31" s="376">
        <f t="shared" ref="M31" si="24">H31</f>
        <v>66992.539642384814</v>
      </c>
      <c r="N31" s="53">
        <f t="shared" ref="N31" si="25">IF(M31&lt;&gt;0,+H31-M31,0)</f>
        <v>0</v>
      </c>
      <c r="O31" s="53">
        <f t="shared" ref="O31" si="26">+N31-L31</f>
        <v>0</v>
      </c>
      <c r="P31" s="1"/>
      <c r="R31" s="1"/>
      <c r="S31" s="1"/>
      <c r="T31" s="1"/>
      <c r="U31" s="1"/>
    </row>
    <row r="32" spans="2:21">
      <c r="B32" t="str">
        <f t="shared" si="0"/>
        <v/>
      </c>
      <c r="C32" s="49">
        <f>IF(D12="","-",+C31+1)</f>
        <v>2026</v>
      </c>
      <c r="D32" s="54">
        <f>IF(F31+SUM(E$17:E31)=D$10,F31,D$10-SUM(E$17:E31))</f>
        <v>396052.08497042774</v>
      </c>
      <c r="E32" s="377">
        <f>IF(+I14&lt;F31,I14,D32)</f>
        <v>20491.766666666666</v>
      </c>
      <c r="F32" s="54">
        <f>+D32-E32</f>
        <v>375560.31830376107</v>
      </c>
      <c r="G32" s="378">
        <f t="shared" ref="G32:G73" si="27">(D32+F32)/2*I$12+E32</f>
        <v>64647.258435057549</v>
      </c>
      <c r="H32" s="359">
        <f t="shared" ref="H32:H73" si="28">+(D32+F32)/2*I$13+E32</f>
        <v>64647.258435057549</v>
      </c>
      <c r="I32" s="51">
        <f>H32-G32</f>
        <v>0</v>
      </c>
      <c r="J32" s="64"/>
      <c r="K32" s="112"/>
      <c r="L32" s="53">
        <f>IF(K32&lt;&gt;0,+G32-K32,0)</f>
        <v>0</v>
      </c>
      <c r="M32" s="112"/>
      <c r="N32" s="53">
        <f>IF(M32&lt;&gt;0,+H32-M32,0)</f>
        <v>0</v>
      </c>
      <c r="O32" s="53">
        <f>+N32-L32</f>
        <v>0</v>
      </c>
      <c r="P32" s="1"/>
      <c r="R32" s="1"/>
      <c r="S32" s="1"/>
      <c r="T32" s="1"/>
      <c r="U32" s="1"/>
    </row>
    <row r="33" spans="2:21">
      <c r="B33" t="str">
        <f t="shared" si="0"/>
        <v/>
      </c>
      <c r="C33" s="49">
        <f>IF(D13="","-",+C32+1)</f>
        <v>2027</v>
      </c>
      <c r="D33" s="54">
        <f>IF(F32+SUM(E$17:E32)=D$10,F32,D$10-SUM(E$17:E32))</f>
        <v>375560.31830376107</v>
      </c>
      <c r="E33" s="377">
        <f>IF(+I14&lt;F31,I14,D33)</f>
        <v>20491.766666666666</v>
      </c>
      <c r="F33" s="54">
        <f t="shared" ref="F33:F50" si="29">+D33-E33</f>
        <v>355068.55163709441</v>
      </c>
      <c r="G33" s="378">
        <f t="shared" si="27"/>
        <v>62301.977227730298</v>
      </c>
      <c r="H33" s="359">
        <f t="shared" si="28"/>
        <v>62301.977227730298</v>
      </c>
      <c r="I33" s="51">
        <f t="shared" si="7"/>
        <v>0</v>
      </c>
      <c r="J33" s="51"/>
      <c r="K33" s="112"/>
      <c r="L33" s="53">
        <f>IF(K33&lt;&gt;0,+G33-K33,0)</f>
        <v>0</v>
      </c>
      <c r="M33" s="112"/>
      <c r="N33" s="53">
        <f>IF(M33&lt;&gt;0,+H33-M33,0)</f>
        <v>0</v>
      </c>
      <c r="O33" s="53">
        <f>+N33-L33</f>
        <v>0</v>
      </c>
      <c r="P33" s="1"/>
      <c r="R33" s="1"/>
      <c r="S33" s="1"/>
      <c r="T33" s="1"/>
      <c r="U33" s="1"/>
    </row>
    <row r="34" spans="2:21">
      <c r="B34" t="str">
        <f t="shared" si="0"/>
        <v/>
      </c>
      <c r="C34" s="49">
        <f>IF(D14="","-",+C33+1)</f>
        <v>2028</v>
      </c>
      <c r="D34" s="380">
        <f>IF(F33+SUM(E$17:E33)=D$10,F33,D$10-SUM(E$17:E33))</f>
        <v>355068.55163709441</v>
      </c>
      <c r="E34" s="381">
        <f>IF(+I14&lt;F33,I14,D34)</f>
        <v>20491.766666666666</v>
      </c>
      <c r="F34" s="380">
        <f t="shared" si="29"/>
        <v>334576.78497042775</v>
      </c>
      <c r="G34" s="382">
        <f t="shared" si="27"/>
        <v>59956.696020403047</v>
      </c>
      <c r="H34" s="383">
        <f t="shared" si="28"/>
        <v>59956.696020403047</v>
      </c>
      <c r="I34" s="384">
        <f t="shared" si="7"/>
        <v>0</v>
      </c>
      <c r="J34" s="384"/>
      <c r="K34" s="385"/>
      <c r="L34" s="386">
        <f t="shared" si="2"/>
        <v>0</v>
      </c>
      <c r="M34" s="385"/>
      <c r="N34" s="386">
        <f t="shared" si="4"/>
        <v>0</v>
      </c>
      <c r="O34" s="386">
        <f t="shared" si="5"/>
        <v>0</v>
      </c>
      <c r="P34" s="387"/>
      <c r="Q34" s="187"/>
      <c r="R34" s="387"/>
      <c r="S34" s="387"/>
      <c r="T34" s="387"/>
      <c r="U34" s="1"/>
    </row>
    <row r="35" spans="2:21">
      <c r="B35" t="str">
        <f t="shared" si="0"/>
        <v/>
      </c>
      <c r="C35" s="49">
        <f>IF(D11="","-",+C34+1)</f>
        <v>2029</v>
      </c>
      <c r="D35" s="54">
        <f>IF(F34+SUM(E$17:E34)=D$10,F34,D$10-SUM(E$17:E34))</f>
        <v>334576.78497042775</v>
      </c>
      <c r="E35" s="377">
        <f>IF(+I14&lt;F34,I14,D35)</f>
        <v>20491.766666666666</v>
      </c>
      <c r="F35" s="54">
        <f t="shared" si="29"/>
        <v>314085.01830376108</v>
      </c>
      <c r="G35" s="378">
        <f t="shared" si="27"/>
        <v>57611.414813075797</v>
      </c>
      <c r="H35" s="359">
        <f t="shared" si="28"/>
        <v>57611.414813075797</v>
      </c>
      <c r="I35" s="51">
        <f t="shared" si="7"/>
        <v>0</v>
      </c>
      <c r="J35" s="51"/>
      <c r="K35" s="112"/>
      <c r="L35" s="53">
        <f t="shared" si="2"/>
        <v>0</v>
      </c>
      <c r="M35" s="112"/>
      <c r="N35" s="53">
        <f t="shared" si="4"/>
        <v>0</v>
      </c>
      <c r="O35" s="53">
        <f t="shared" si="5"/>
        <v>0</v>
      </c>
      <c r="P35" s="1"/>
      <c r="R35" s="1"/>
      <c r="S35" s="1"/>
      <c r="T35" s="1"/>
      <c r="U35" s="1"/>
    </row>
    <row r="36" spans="2:21">
      <c r="B36" t="str">
        <f t="shared" si="0"/>
        <v/>
      </c>
      <c r="C36" s="49">
        <f>IF(D11="","-",+C35+1)</f>
        <v>2030</v>
      </c>
      <c r="D36" s="54">
        <f>IF(F35+SUM(E$17:E35)=D$10,F35,D$10-SUM(E$17:E35))</f>
        <v>314085.01830376108</v>
      </c>
      <c r="E36" s="377">
        <f>IF(+I14&lt;F35,I14,D36)</f>
        <v>20491.766666666666</v>
      </c>
      <c r="F36" s="54">
        <f t="shared" si="29"/>
        <v>293593.25163709442</v>
      </c>
      <c r="G36" s="378">
        <f t="shared" si="27"/>
        <v>55266.133605748531</v>
      </c>
      <c r="H36" s="359">
        <f t="shared" si="28"/>
        <v>55266.133605748531</v>
      </c>
      <c r="I36" s="51">
        <f t="shared" si="7"/>
        <v>0</v>
      </c>
      <c r="J36" s="51"/>
      <c r="K36" s="112"/>
      <c r="L36" s="53">
        <f t="shared" si="2"/>
        <v>0</v>
      </c>
      <c r="M36" s="112"/>
      <c r="N36" s="53">
        <f t="shared" si="4"/>
        <v>0</v>
      </c>
      <c r="O36" s="53">
        <f t="shared" si="5"/>
        <v>0</v>
      </c>
      <c r="P36" s="1"/>
      <c r="R36" s="1"/>
      <c r="S36" s="1"/>
      <c r="T36" s="1"/>
      <c r="U36" s="1"/>
    </row>
    <row r="37" spans="2:21">
      <c r="B37" t="str">
        <f t="shared" si="0"/>
        <v/>
      </c>
      <c r="C37" s="49">
        <f>IF(D11="","-",+C36+1)</f>
        <v>2031</v>
      </c>
      <c r="D37" s="54">
        <f>IF(F36+SUM(E$17:E36)=D$10,F36,D$10-SUM(E$17:E36))</f>
        <v>293593.25163709442</v>
      </c>
      <c r="E37" s="377">
        <f>IF(+I14&lt;F36,I14,D37)</f>
        <v>20491.766666666666</v>
      </c>
      <c r="F37" s="54">
        <f t="shared" si="29"/>
        <v>273101.48497042776</v>
      </c>
      <c r="G37" s="378">
        <f t="shared" si="27"/>
        <v>52920.852398421295</v>
      </c>
      <c r="H37" s="359">
        <f t="shared" si="28"/>
        <v>52920.852398421295</v>
      </c>
      <c r="I37" s="51">
        <f t="shared" si="7"/>
        <v>0</v>
      </c>
      <c r="J37" s="51"/>
      <c r="K37" s="112"/>
      <c r="L37" s="53">
        <f t="shared" si="2"/>
        <v>0</v>
      </c>
      <c r="M37" s="112"/>
      <c r="N37" s="53">
        <f t="shared" si="4"/>
        <v>0</v>
      </c>
      <c r="O37" s="53">
        <f t="shared" si="5"/>
        <v>0</v>
      </c>
      <c r="P37" s="1"/>
      <c r="R37" s="1"/>
      <c r="S37" s="1"/>
      <c r="T37" s="1"/>
      <c r="U37" s="1"/>
    </row>
    <row r="38" spans="2:21">
      <c r="B38" t="str">
        <f t="shared" si="0"/>
        <v/>
      </c>
      <c r="C38" s="49">
        <f>IF(D11="","-",+C37+1)</f>
        <v>2032</v>
      </c>
      <c r="D38" s="54">
        <f>IF(F37+SUM(E$17:E37)=D$10,F37,D$10-SUM(E$17:E37))</f>
        <v>273101.48497042776</v>
      </c>
      <c r="E38" s="377">
        <f>IF(+I14&lt;F37,I14,D38)</f>
        <v>20491.766666666666</v>
      </c>
      <c r="F38" s="54">
        <f t="shared" si="29"/>
        <v>252609.7183037611</v>
      </c>
      <c r="G38" s="378">
        <f t="shared" si="27"/>
        <v>50575.57119109403</v>
      </c>
      <c r="H38" s="359">
        <f t="shared" si="28"/>
        <v>50575.57119109403</v>
      </c>
      <c r="I38" s="51">
        <f t="shared" si="7"/>
        <v>0</v>
      </c>
      <c r="J38" s="51"/>
      <c r="K38" s="112"/>
      <c r="L38" s="53">
        <f t="shared" si="2"/>
        <v>0</v>
      </c>
      <c r="M38" s="112"/>
      <c r="N38" s="53">
        <f t="shared" si="4"/>
        <v>0</v>
      </c>
      <c r="O38" s="53">
        <f t="shared" si="5"/>
        <v>0</v>
      </c>
      <c r="P38" s="1"/>
      <c r="R38" s="1"/>
      <c r="S38" s="1"/>
      <c r="T38" s="1"/>
      <c r="U38" s="1"/>
    </row>
    <row r="39" spans="2:21">
      <c r="B39" t="str">
        <f t="shared" si="0"/>
        <v/>
      </c>
      <c r="C39" s="49">
        <f>IF(D11="","-",+C38+1)</f>
        <v>2033</v>
      </c>
      <c r="D39" s="54">
        <f>IF(F38+SUM(E$17:E38)=D$10,F38,D$10-SUM(E$17:E38))</f>
        <v>252609.7183037611</v>
      </c>
      <c r="E39" s="377">
        <f>IF(+I14&lt;F38,I14,D39)</f>
        <v>20491.766666666666</v>
      </c>
      <c r="F39" s="54">
        <f t="shared" si="29"/>
        <v>232117.95163709443</v>
      </c>
      <c r="G39" s="378">
        <f t="shared" si="27"/>
        <v>48230.289983766779</v>
      </c>
      <c r="H39" s="359">
        <f t="shared" si="28"/>
        <v>48230.289983766779</v>
      </c>
      <c r="I39" s="51">
        <f t="shared" si="7"/>
        <v>0</v>
      </c>
      <c r="J39" s="51"/>
      <c r="K39" s="112"/>
      <c r="L39" s="53">
        <f t="shared" si="2"/>
        <v>0</v>
      </c>
      <c r="M39" s="112"/>
      <c r="N39" s="53">
        <f t="shared" si="4"/>
        <v>0</v>
      </c>
      <c r="O39" s="53">
        <f t="shared" si="5"/>
        <v>0</v>
      </c>
      <c r="P39" s="1"/>
      <c r="R39" s="1"/>
      <c r="S39" s="1"/>
      <c r="T39" s="1"/>
      <c r="U39" s="1"/>
    </row>
    <row r="40" spans="2:21">
      <c r="B40" t="str">
        <f t="shared" si="0"/>
        <v/>
      </c>
      <c r="C40" s="49">
        <f>IF(D11="","-",+C39+1)</f>
        <v>2034</v>
      </c>
      <c r="D40" s="54">
        <f>IF(F39+SUM(E$17:E39)=D$10,F39,D$10-SUM(E$17:E39))</f>
        <v>232117.95163709443</v>
      </c>
      <c r="E40" s="377">
        <f>IF(+I14&lt;F39,I14,D40)</f>
        <v>20491.766666666666</v>
      </c>
      <c r="F40" s="54">
        <f t="shared" si="29"/>
        <v>211626.18497042777</v>
      </c>
      <c r="G40" s="378">
        <f t="shared" si="27"/>
        <v>45885.008776439528</v>
      </c>
      <c r="H40" s="359">
        <f t="shared" si="28"/>
        <v>45885.008776439528</v>
      </c>
      <c r="I40" s="51">
        <f t="shared" si="7"/>
        <v>0</v>
      </c>
      <c r="J40" s="51"/>
      <c r="K40" s="112"/>
      <c r="L40" s="53">
        <f t="shared" si="2"/>
        <v>0</v>
      </c>
      <c r="M40" s="112"/>
      <c r="N40" s="53">
        <f t="shared" si="4"/>
        <v>0</v>
      </c>
      <c r="O40" s="53">
        <f t="shared" si="5"/>
        <v>0</v>
      </c>
      <c r="P40" s="1"/>
      <c r="R40" s="1"/>
      <c r="S40" s="1"/>
      <c r="T40" s="1"/>
      <c r="U40" s="1"/>
    </row>
    <row r="41" spans="2:21">
      <c r="B41" t="str">
        <f t="shared" si="0"/>
        <v/>
      </c>
      <c r="C41" s="49">
        <f>IF(D12="","-",+C40+1)</f>
        <v>2035</v>
      </c>
      <c r="D41" s="54">
        <f>IF(F40+SUM(E$17:E40)=D$10,F40,D$10-SUM(E$17:E40))</f>
        <v>211626.18497042777</v>
      </c>
      <c r="E41" s="377">
        <f>IF(+I14&lt;F40,I14,D41)</f>
        <v>20491.766666666666</v>
      </c>
      <c r="F41" s="54">
        <f t="shared" si="29"/>
        <v>191134.41830376111</v>
      </c>
      <c r="G41" s="378">
        <f t="shared" si="27"/>
        <v>43539.727569112278</v>
      </c>
      <c r="H41" s="359">
        <f t="shared" si="28"/>
        <v>43539.727569112278</v>
      </c>
      <c r="I41" s="51">
        <f t="shared" si="7"/>
        <v>0</v>
      </c>
      <c r="J41" s="51"/>
      <c r="K41" s="112"/>
      <c r="L41" s="53">
        <f t="shared" si="2"/>
        <v>0</v>
      </c>
      <c r="M41" s="112"/>
      <c r="N41" s="53">
        <f t="shared" si="4"/>
        <v>0</v>
      </c>
      <c r="O41" s="53">
        <f t="shared" si="5"/>
        <v>0</v>
      </c>
      <c r="P41" s="1"/>
      <c r="R41" s="1"/>
      <c r="S41" s="1"/>
      <c r="T41" s="1"/>
      <c r="U41" s="1"/>
    </row>
    <row r="42" spans="2:21">
      <c r="B42" t="str">
        <f t="shared" si="0"/>
        <v/>
      </c>
      <c r="C42" s="49">
        <f>IF(D13="","-",+C41+1)</f>
        <v>2036</v>
      </c>
      <c r="D42" s="54">
        <f>IF(F41+SUM(E$17:E41)=D$10,F41,D$10-SUM(E$17:E41))</f>
        <v>191134.41830376111</v>
      </c>
      <c r="E42" s="377">
        <f>IF(+I14&lt;F41,I14,D42)</f>
        <v>20491.766666666666</v>
      </c>
      <c r="F42" s="54">
        <f t="shared" si="29"/>
        <v>170642.65163709444</v>
      </c>
      <c r="G42" s="378">
        <f t="shared" si="27"/>
        <v>41194.44636178502</v>
      </c>
      <c r="H42" s="359">
        <f t="shared" si="28"/>
        <v>41194.44636178502</v>
      </c>
      <c r="I42" s="51">
        <f t="shared" si="7"/>
        <v>0</v>
      </c>
      <c r="J42" s="51"/>
      <c r="K42" s="112"/>
      <c r="L42" s="53">
        <f t="shared" si="2"/>
        <v>0</v>
      </c>
      <c r="M42" s="112"/>
      <c r="N42" s="53">
        <f t="shared" si="4"/>
        <v>0</v>
      </c>
      <c r="O42" s="53">
        <f t="shared" si="5"/>
        <v>0</v>
      </c>
      <c r="P42" s="1"/>
      <c r="R42" s="1"/>
      <c r="S42" s="1"/>
      <c r="T42" s="1"/>
      <c r="U42" s="1"/>
    </row>
    <row r="43" spans="2:21">
      <c r="B43" t="str">
        <f t="shared" si="0"/>
        <v/>
      </c>
      <c r="C43" s="49">
        <f>IF(D14="","-",+C42+1)</f>
        <v>2037</v>
      </c>
      <c r="D43" s="54">
        <f>IF(F42+SUM(E$17:E42)=D$10,F42,D$10-SUM(E$17:E42))</f>
        <v>170642.65163709444</v>
      </c>
      <c r="E43" s="377">
        <f>IF(+I14&lt;F42,I14,D43)</f>
        <v>20491.766666666666</v>
      </c>
      <c r="F43" s="54">
        <f t="shared" si="29"/>
        <v>150150.88497042778</v>
      </c>
      <c r="G43" s="378">
        <f t="shared" si="27"/>
        <v>38849.165154457762</v>
      </c>
      <c r="H43" s="359">
        <f t="shared" si="28"/>
        <v>38849.165154457762</v>
      </c>
      <c r="I43" s="51">
        <f t="shared" si="7"/>
        <v>0</v>
      </c>
      <c r="J43" s="51"/>
      <c r="K43" s="112"/>
      <c r="L43" s="53">
        <f t="shared" si="2"/>
        <v>0</v>
      </c>
      <c r="M43" s="112"/>
      <c r="N43" s="53">
        <f t="shared" si="4"/>
        <v>0</v>
      </c>
      <c r="O43" s="53">
        <f t="shared" si="5"/>
        <v>0</v>
      </c>
      <c r="P43" s="1"/>
      <c r="R43" s="1"/>
      <c r="S43" s="1"/>
      <c r="T43" s="1"/>
      <c r="U43" s="1"/>
    </row>
    <row r="44" spans="2:21">
      <c r="B44" t="str">
        <f t="shared" si="0"/>
        <v/>
      </c>
      <c r="C44" s="49">
        <f>IF(D11="","-",+C43+1)</f>
        <v>2038</v>
      </c>
      <c r="D44" s="54">
        <f>IF(F43+SUM(E$17:E43)=D$10,F43,D$10-SUM(E$17:E43))</f>
        <v>150150.88497042778</v>
      </c>
      <c r="E44" s="377">
        <f>IF(+I14&lt;F43,I14,D44)</f>
        <v>20491.766666666666</v>
      </c>
      <c r="F44" s="54">
        <f t="shared" si="29"/>
        <v>129659.11830376112</v>
      </c>
      <c r="G44" s="378">
        <f t="shared" si="27"/>
        <v>36503.883947130511</v>
      </c>
      <c r="H44" s="359">
        <f t="shared" si="28"/>
        <v>36503.883947130511</v>
      </c>
      <c r="I44" s="51">
        <f t="shared" si="7"/>
        <v>0</v>
      </c>
      <c r="J44" s="51"/>
      <c r="K44" s="112"/>
      <c r="L44" s="53">
        <f t="shared" si="2"/>
        <v>0</v>
      </c>
      <c r="M44" s="112"/>
      <c r="N44" s="53">
        <f t="shared" si="4"/>
        <v>0</v>
      </c>
      <c r="O44" s="53">
        <f t="shared" si="5"/>
        <v>0</v>
      </c>
      <c r="P44" s="1"/>
      <c r="R44" s="1"/>
      <c r="S44" s="1"/>
      <c r="T44" s="1"/>
      <c r="U44" s="1"/>
    </row>
    <row r="45" spans="2:21">
      <c r="B45" t="str">
        <f t="shared" si="0"/>
        <v/>
      </c>
      <c r="C45" s="49">
        <f>IF(D11="","-",+C44+1)</f>
        <v>2039</v>
      </c>
      <c r="D45" s="54">
        <f>IF(F44+SUM(E$17:E44)=D$10,F44,D$10-SUM(E$17:E44))</f>
        <v>129659.11830376112</v>
      </c>
      <c r="E45" s="377">
        <f>IF(+I14&lt;F44,I14,D45)</f>
        <v>20491.766666666666</v>
      </c>
      <c r="F45" s="54">
        <f t="shared" si="29"/>
        <v>109167.35163709446</v>
      </c>
      <c r="G45" s="378">
        <f t="shared" si="27"/>
        <v>34158.60273980326</v>
      </c>
      <c r="H45" s="359">
        <f t="shared" si="28"/>
        <v>34158.60273980326</v>
      </c>
      <c r="I45" s="51">
        <f t="shared" si="7"/>
        <v>0</v>
      </c>
      <c r="J45" s="51"/>
      <c r="K45" s="112"/>
      <c r="L45" s="53">
        <f t="shared" si="2"/>
        <v>0</v>
      </c>
      <c r="M45" s="112"/>
      <c r="N45" s="53">
        <f t="shared" si="4"/>
        <v>0</v>
      </c>
      <c r="O45" s="53">
        <f t="shared" si="5"/>
        <v>0</v>
      </c>
      <c r="P45" s="1"/>
      <c r="R45" s="1"/>
      <c r="S45" s="1"/>
      <c r="T45" s="1"/>
      <c r="U45" s="1"/>
    </row>
    <row r="46" spans="2:21">
      <c r="B46" t="str">
        <f t="shared" si="0"/>
        <v/>
      </c>
      <c r="C46" s="49">
        <f>IF(D11="","-",+C45+1)</f>
        <v>2040</v>
      </c>
      <c r="D46" s="54">
        <f>IF(F45+SUM(E$17:E45)=D$10,F45,D$10-SUM(E$17:E45))</f>
        <v>109167.35163709446</v>
      </c>
      <c r="E46" s="377">
        <f>IF(+I14&lt;F45,I14,D46)</f>
        <v>20491.766666666666</v>
      </c>
      <c r="F46" s="54">
        <f t="shared" si="29"/>
        <v>88675.584970427793</v>
      </c>
      <c r="G46" s="378">
        <f t="shared" si="27"/>
        <v>31813.321532476002</v>
      </c>
      <c r="H46" s="359">
        <f t="shared" si="28"/>
        <v>31813.321532476002</v>
      </c>
      <c r="I46" s="51">
        <f t="shared" si="7"/>
        <v>0</v>
      </c>
      <c r="J46" s="51"/>
      <c r="K46" s="112"/>
      <c r="L46" s="53">
        <f t="shared" si="2"/>
        <v>0</v>
      </c>
      <c r="M46" s="112"/>
      <c r="N46" s="53">
        <f t="shared" si="4"/>
        <v>0</v>
      </c>
      <c r="O46" s="53">
        <f t="shared" si="5"/>
        <v>0</v>
      </c>
      <c r="P46" s="1"/>
      <c r="R46" s="1"/>
      <c r="S46" s="1"/>
      <c r="T46" s="1"/>
      <c r="U46" s="1"/>
    </row>
    <row r="47" spans="2:21">
      <c r="B47" t="str">
        <f t="shared" si="0"/>
        <v/>
      </c>
      <c r="C47" s="49">
        <f>IF(D11="","-",+C46+1)</f>
        <v>2041</v>
      </c>
      <c r="D47" s="54">
        <f>IF(F46+SUM(E$17:E46)=D$10,F46,D$10-SUM(E$17:E46))</f>
        <v>88675.584970427793</v>
      </c>
      <c r="E47" s="377">
        <f>IF(+I14&lt;F46,I14,D47)</f>
        <v>20491.766666666666</v>
      </c>
      <c r="F47" s="54">
        <f t="shared" si="29"/>
        <v>68183.818303761131</v>
      </c>
      <c r="G47" s="378">
        <f t="shared" si="27"/>
        <v>29468.040325148751</v>
      </c>
      <c r="H47" s="359">
        <f t="shared" si="28"/>
        <v>29468.040325148751</v>
      </c>
      <c r="I47" s="51">
        <f t="shared" si="7"/>
        <v>0</v>
      </c>
      <c r="J47" s="51"/>
      <c r="K47" s="112"/>
      <c r="L47" s="53">
        <f t="shared" si="2"/>
        <v>0</v>
      </c>
      <c r="M47" s="112"/>
      <c r="N47" s="53">
        <f t="shared" si="4"/>
        <v>0</v>
      </c>
      <c r="O47" s="53">
        <f t="shared" si="5"/>
        <v>0</v>
      </c>
      <c r="P47" s="1"/>
      <c r="R47" s="1"/>
      <c r="S47" s="1"/>
      <c r="T47" s="1"/>
      <c r="U47" s="1"/>
    </row>
    <row r="48" spans="2:21">
      <c r="B48" t="str">
        <f t="shared" si="0"/>
        <v/>
      </c>
      <c r="C48" s="49">
        <f>IF(D11="","-",+C47+1)</f>
        <v>2042</v>
      </c>
      <c r="D48" s="54">
        <f>IF(F47+SUM(E$17:E47)=D$10,F47,D$10-SUM(E$17:E47))</f>
        <v>68183.818303761131</v>
      </c>
      <c r="E48" s="377">
        <f>IF(+I14&lt;F47,I14,D48)</f>
        <v>20491.766666666666</v>
      </c>
      <c r="F48" s="54">
        <f t="shared" si="29"/>
        <v>47692.051637094468</v>
      </c>
      <c r="G48" s="378">
        <f t="shared" si="27"/>
        <v>27122.759117821497</v>
      </c>
      <c r="H48" s="359">
        <f t="shared" si="28"/>
        <v>27122.759117821497</v>
      </c>
      <c r="I48" s="51">
        <f t="shared" si="7"/>
        <v>0</v>
      </c>
      <c r="J48" s="51"/>
      <c r="K48" s="112"/>
      <c r="L48" s="53">
        <f t="shared" si="2"/>
        <v>0</v>
      </c>
      <c r="M48" s="112"/>
      <c r="N48" s="53">
        <f t="shared" si="4"/>
        <v>0</v>
      </c>
      <c r="O48" s="53">
        <f t="shared" si="5"/>
        <v>0</v>
      </c>
      <c r="P48" s="1"/>
      <c r="R48" s="1"/>
      <c r="S48" s="1"/>
      <c r="T48" s="1"/>
      <c r="U48" s="1"/>
    </row>
    <row r="49" spans="2:21">
      <c r="B49" t="str">
        <f t="shared" si="0"/>
        <v/>
      </c>
      <c r="C49" s="49">
        <f>IF(D11="","-",+C48+1)</f>
        <v>2043</v>
      </c>
      <c r="D49" s="54">
        <f>IF(F48+SUM(E$17:E48)=D$10,F48,D$10-SUM(E$17:E48))</f>
        <v>47692.051637094468</v>
      </c>
      <c r="E49" s="377">
        <f>IF(+I14&lt;F48,I14,D49)</f>
        <v>20491.766666666666</v>
      </c>
      <c r="F49" s="54">
        <f t="shared" si="29"/>
        <v>27200.284970427801</v>
      </c>
      <c r="G49" s="378">
        <f t="shared" si="27"/>
        <v>24777.477910494243</v>
      </c>
      <c r="H49" s="359">
        <f t="shared" si="28"/>
        <v>24777.477910494243</v>
      </c>
      <c r="I49" s="51">
        <f t="shared" si="7"/>
        <v>0</v>
      </c>
      <c r="J49" s="51"/>
      <c r="K49" s="112"/>
      <c r="L49" s="53">
        <f t="shared" si="2"/>
        <v>0</v>
      </c>
      <c r="M49" s="112"/>
      <c r="N49" s="53">
        <f t="shared" si="4"/>
        <v>0</v>
      </c>
      <c r="O49" s="53">
        <f t="shared" si="5"/>
        <v>0</v>
      </c>
      <c r="P49" s="1"/>
      <c r="R49" s="1"/>
      <c r="S49" s="1"/>
      <c r="T49" s="1"/>
      <c r="U49" s="1"/>
    </row>
    <row r="50" spans="2:21">
      <c r="B50" t="str">
        <f t="shared" ref="B50:B73" si="30">IF(D50=F49,"","IU")</f>
        <v/>
      </c>
      <c r="C50" s="49">
        <f>IF(D11="","-",+C49+1)</f>
        <v>2044</v>
      </c>
      <c r="D50" s="54">
        <f>IF(F49+SUM(E$17:E49)=D$10,F49,D$10-SUM(E$17:E49))</f>
        <v>27200.284970427801</v>
      </c>
      <c r="E50" s="377">
        <f>IF(+I14&lt;F49,I14,D50)</f>
        <v>20491.766666666666</v>
      </c>
      <c r="F50" s="54">
        <f t="shared" si="29"/>
        <v>6708.518303761135</v>
      </c>
      <c r="G50" s="378">
        <f t="shared" si="27"/>
        <v>22432.196703166988</v>
      </c>
      <c r="H50" s="359">
        <f t="shared" si="28"/>
        <v>22432.196703166988</v>
      </c>
      <c r="I50" s="51">
        <f t="shared" ref="I50:I73" si="31">H50-G50</f>
        <v>0</v>
      </c>
      <c r="J50" s="51"/>
      <c r="K50" s="112"/>
      <c r="L50" s="53">
        <f t="shared" ref="L50:L73" si="32">IF(K50&lt;&gt;0,+G50-K50,0)</f>
        <v>0</v>
      </c>
      <c r="M50" s="112"/>
      <c r="N50" s="53">
        <f t="shared" ref="N50:N73" si="33">IF(M50&lt;&gt;0,+H50-M50,0)</f>
        <v>0</v>
      </c>
      <c r="O50" s="53">
        <f t="shared" ref="O50:O73" si="34">+N50-L50</f>
        <v>0</v>
      </c>
      <c r="P50" s="1"/>
      <c r="R50" s="1"/>
      <c r="S50" s="1"/>
      <c r="T50" s="1"/>
      <c r="U50" s="1"/>
    </row>
    <row r="51" spans="2:21">
      <c r="B51" t="str">
        <f t="shared" si="30"/>
        <v/>
      </c>
      <c r="C51" s="49">
        <f>IF(D11="","-",+C50+1)</f>
        <v>2045</v>
      </c>
      <c r="D51" s="54">
        <f>IF(F50+SUM(E$17:E50)=D$10,F50,D$10-SUM(E$17:E50))</f>
        <v>6708.518303761135</v>
      </c>
      <c r="E51" s="377">
        <f>IF(+I14&lt;F50,I14,D51)</f>
        <v>6708.518303761135</v>
      </c>
      <c r="F51" s="54">
        <f t="shared" ref="F51:F73" si="35">+D51-E51</f>
        <v>0</v>
      </c>
      <c r="G51" s="378">
        <f t="shared" si="27"/>
        <v>7092.4130201794824</v>
      </c>
      <c r="H51" s="359">
        <f t="shared" si="28"/>
        <v>7092.4130201794824</v>
      </c>
      <c r="I51" s="51">
        <f t="shared" si="31"/>
        <v>0</v>
      </c>
      <c r="J51" s="51"/>
      <c r="K51" s="112"/>
      <c r="L51" s="53">
        <f t="shared" si="32"/>
        <v>0</v>
      </c>
      <c r="M51" s="112"/>
      <c r="N51" s="53">
        <f t="shared" si="33"/>
        <v>0</v>
      </c>
      <c r="O51" s="53">
        <f t="shared" si="34"/>
        <v>0</v>
      </c>
      <c r="P51" s="1"/>
      <c r="R51" s="1"/>
      <c r="S51" s="1"/>
      <c r="T51" s="1"/>
      <c r="U51" s="1"/>
    </row>
    <row r="52" spans="2:21">
      <c r="B52" t="str">
        <f t="shared" si="30"/>
        <v/>
      </c>
      <c r="C52" s="49">
        <f>IF(D11="","-",+C51+1)</f>
        <v>2046</v>
      </c>
      <c r="D52" s="54">
        <f>IF(F51+SUM(E$17:E51)=D$10,F51,D$10-SUM(E$17:E51))</f>
        <v>0</v>
      </c>
      <c r="E52" s="377">
        <f>IF(+I14&lt;F51,I14,D52)</f>
        <v>0</v>
      </c>
      <c r="F52" s="54">
        <f t="shared" si="35"/>
        <v>0</v>
      </c>
      <c r="G52" s="378">
        <f t="shared" si="27"/>
        <v>0</v>
      </c>
      <c r="H52" s="359">
        <f t="shared" si="28"/>
        <v>0</v>
      </c>
      <c r="I52" s="51">
        <f t="shared" si="31"/>
        <v>0</v>
      </c>
      <c r="J52" s="51"/>
      <c r="K52" s="112"/>
      <c r="L52" s="53">
        <f t="shared" si="32"/>
        <v>0</v>
      </c>
      <c r="M52" s="112"/>
      <c r="N52" s="53">
        <f t="shared" si="33"/>
        <v>0</v>
      </c>
      <c r="O52" s="53">
        <f t="shared" si="34"/>
        <v>0</v>
      </c>
      <c r="P52" s="1"/>
      <c r="R52" s="1"/>
      <c r="S52" s="1"/>
      <c r="T52" s="1"/>
      <c r="U52" s="1"/>
    </row>
    <row r="53" spans="2:21">
      <c r="B53" t="str">
        <f t="shared" si="30"/>
        <v/>
      </c>
      <c r="C53" s="49">
        <f>IF(D11="","-",+C52+1)</f>
        <v>2047</v>
      </c>
      <c r="D53" s="54">
        <f>IF(F52+SUM(E$17:E52)=D$10,F52,D$10-SUM(E$17:E52))</f>
        <v>0</v>
      </c>
      <c r="E53" s="377">
        <f>IF(+I14&lt;F52,I14,D53)</f>
        <v>0</v>
      </c>
      <c r="F53" s="54">
        <f t="shared" si="35"/>
        <v>0</v>
      </c>
      <c r="G53" s="378">
        <f t="shared" si="27"/>
        <v>0</v>
      </c>
      <c r="H53" s="359">
        <f t="shared" si="28"/>
        <v>0</v>
      </c>
      <c r="I53" s="51">
        <f t="shared" si="31"/>
        <v>0</v>
      </c>
      <c r="J53" s="51"/>
      <c r="K53" s="112"/>
      <c r="L53" s="53">
        <f t="shared" si="32"/>
        <v>0</v>
      </c>
      <c r="M53" s="112"/>
      <c r="N53" s="53">
        <f t="shared" si="33"/>
        <v>0</v>
      </c>
      <c r="O53" s="53">
        <f t="shared" si="34"/>
        <v>0</v>
      </c>
      <c r="P53" s="1"/>
      <c r="R53" s="1"/>
      <c r="S53" s="1"/>
      <c r="T53" s="1"/>
      <c r="U53" s="1"/>
    </row>
    <row r="54" spans="2:21">
      <c r="B54" t="str">
        <f t="shared" si="30"/>
        <v/>
      </c>
      <c r="C54" s="49">
        <f>IF(D11="","-",+C53+1)</f>
        <v>2048</v>
      </c>
      <c r="D54" s="54">
        <f>IF(F53+SUM(E$17:E53)=D$10,F53,D$10-SUM(E$17:E53))</f>
        <v>0</v>
      </c>
      <c r="E54" s="377">
        <f>IF(+I14&lt;F53,I14,D54)</f>
        <v>0</v>
      </c>
      <c r="F54" s="54">
        <f t="shared" si="35"/>
        <v>0</v>
      </c>
      <c r="G54" s="378">
        <f t="shared" si="27"/>
        <v>0</v>
      </c>
      <c r="H54" s="359">
        <f t="shared" si="28"/>
        <v>0</v>
      </c>
      <c r="I54" s="51">
        <f t="shared" si="31"/>
        <v>0</v>
      </c>
      <c r="J54" s="51"/>
      <c r="K54" s="112"/>
      <c r="L54" s="53">
        <f t="shared" si="32"/>
        <v>0</v>
      </c>
      <c r="M54" s="112"/>
      <c r="N54" s="53">
        <f t="shared" si="33"/>
        <v>0</v>
      </c>
      <c r="O54" s="53">
        <f t="shared" si="34"/>
        <v>0</v>
      </c>
      <c r="P54" s="1"/>
      <c r="R54" s="1"/>
      <c r="S54" s="1"/>
      <c r="T54" s="1"/>
      <c r="U54" s="1"/>
    </row>
    <row r="55" spans="2:21">
      <c r="B55" t="str">
        <f t="shared" si="30"/>
        <v/>
      </c>
      <c r="C55" s="49">
        <f>IF(D11="","-",+C54+1)</f>
        <v>2049</v>
      </c>
      <c r="D55" s="54">
        <f>IF(F54+SUM(E$17:E54)=D$10,F54,D$10-SUM(E$17:E54))</f>
        <v>0</v>
      </c>
      <c r="E55" s="377">
        <f>IF(+I14&lt;F54,I14,D55)</f>
        <v>0</v>
      </c>
      <c r="F55" s="54">
        <f t="shared" si="35"/>
        <v>0</v>
      </c>
      <c r="G55" s="378">
        <f t="shared" si="27"/>
        <v>0</v>
      </c>
      <c r="H55" s="359">
        <f t="shared" si="28"/>
        <v>0</v>
      </c>
      <c r="I55" s="51">
        <f t="shared" si="31"/>
        <v>0</v>
      </c>
      <c r="J55" s="51"/>
      <c r="K55" s="112"/>
      <c r="L55" s="53">
        <f t="shared" si="32"/>
        <v>0</v>
      </c>
      <c r="M55" s="112"/>
      <c r="N55" s="53">
        <f t="shared" si="33"/>
        <v>0</v>
      </c>
      <c r="O55" s="53">
        <f t="shared" si="34"/>
        <v>0</v>
      </c>
      <c r="P55" s="1"/>
      <c r="R55" s="1"/>
      <c r="S55" s="1"/>
      <c r="T55" s="1"/>
      <c r="U55" s="1"/>
    </row>
    <row r="56" spans="2:21">
      <c r="B56" t="str">
        <f t="shared" si="30"/>
        <v/>
      </c>
      <c r="C56" s="49">
        <f>IF(D11="","-",+C55+1)</f>
        <v>2050</v>
      </c>
      <c r="D56" s="54">
        <f>IF(F55+SUM(E$17:E55)=D$10,F55,D$10-SUM(E$17:E55))</f>
        <v>0</v>
      </c>
      <c r="E56" s="377">
        <f>IF(+I14&lt;F55,I14,D56)</f>
        <v>0</v>
      </c>
      <c r="F56" s="54">
        <f t="shared" si="35"/>
        <v>0</v>
      </c>
      <c r="G56" s="378">
        <f t="shared" si="27"/>
        <v>0</v>
      </c>
      <c r="H56" s="359">
        <f t="shared" si="28"/>
        <v>0</v>
      </c>
      <c r="I56" s="51">
        <f t="shared" si="31"/>
        <v>0</v>
      </c>
      <c r="J56" s="51"/>
      <c r="K56" s="112"/>
      <c r="L56" s="53">
        <f t="shared" si="32"/>
        <v>0</v>
      </c>
      <c r="M56" s="112"/>
      <c r="N56" s="53">
        <f t="shared" si="33"/>
        <v>0</v>
      </c>
      <c r="O56" s="53">
        <f t="shared" si="34"/>
        <v>0</v>
      </c>
      <c r="P56" s="1"/>
      <c r="R56" s="1"/>
      <c r="S56" s="1"/>
      <c r="T56" s="1"/>
      <c r="U56" s="1"/>
    </row>
    <row r="57" spans="2:21">
      <c r="B57" t="str">
        <f t="shared" si="30"/>
        <v/>
      </c>
      <c r="C57" s="49">
        <f>IF(D11="","-",+C56+1)</f>
        <v>2051</v>
      </c>
      <c r="D57" s="54">
        <f>IF(F56+SUM(E$17:E56)=D$10,F56,D$10-SUM(E$17:E56))</f>
        <v>0</v>
      </c>
      <c r="E57" s="377">
        <f>IF(+I14&lt;F56,I14,D57)</f>
        <v>0</v>
      </c>
      <c r="F57" s="54">
        <f t="shared" si="35"/>
        <v>0</v>
      </c>
      <c r="G57" s="378">
        <f t="shared" si="27"/>
        <v>0</v>
      </c>
      <c r="H57" s="359">
        <f t="shared" si="28"/>
        <v>0</v>
      </c>
      <c r="I57" s="51">
        <f t="shared" si="31"/>
        <v>0</v>
      </c>
      <c r="J57" s="51"/>
      <c r="K57" s="112"/>
      <c r="L57" s="53">
        <f t="shared" si="32"/>
        <v>0</v>
      </c>
      <c r="M57" s="112"/>
      <c r="N57" s="53">
        <f t="shared" si="33"/>
        <v>0</v>
      </c>
      <c r="O57" s="53">
        <f t="shared" si="34"/>
        <v>0</v>
      </c>
      <c r="P57" s="1"/>
      <c r="R57" s="1"/>
      <c r="S57" s="1"/>
      <c r="T57" s="1"/>
      <c r="U57" s="1"/>
    </row>
    <row r="58" spans="2:21">
      <c r="B58" t="str">
        <f t="shared" si="30"/>
        <v/>
      </c>
      <c r="C58" s="49">
        <f>IF(D11="","-",+C57+1)</f>
        <v>2052</v>
      </c>
      <c r="D58" s="54">
        <f>IF(F57+SUM(E$17:E57)=D$10,F57,D$10-SUM(E$17:E57))</f>
        <v>0</v>
      </c>
      <c r="E58" s="377">
        <f>IF(+I14&lt;F57,I14,D58)</f>
        <v>0</v>
      </c>
      <c r="F58" s="54">
        <f t="shared" si="35"/>
        <v>0</v>
      </c>
      <c r="G58" s="378">
        <f t="shared" si="27"/>
        <v>0</v>
      </c>
      <c r="H58" s="359">
        <f t="shared" si="28"/>
        <v>0</v>
      </c>
      <c r="I58" s="51">
        <f t="shared" si="31"/>
        <v>0</v>
      </c>
      <c r="J58" s="51"/>
      <c r="K58" s="112"/>
      <c r="L58" s="53">
        <f t="shared" si="32"/>
        <v>0</v>
      </c>
      <c r="M58" s="112"/>
      <c r="N58" s="53">
        <f t="shared" si="33"/>
        <v>0</v>
      </c>
      <c r="O58" s="53">
        <f t="shared" si="34"/>
        <v>0</v>
      </c>
      <c r="P58" s="1"/>
      <c r="R58" s="1"/>
      <c r="S58" s="1"/>
      <c r="T58" s="1"/>
      <c r="U58" s="1"/>
    </row>
    <row r="59" spans="2:21">
      <c r="B59" t="str">
        <f t="shared" si="30"/>
        <v/>
      </c>
      <c r="C59" s="49">
        <f>IF(D11="","-",+C58+1)</f>
        <v>2053</v>
      </c>
      <c r="D59" s="54">
        <f>IF(F58+SUM(E$17:E58)=D$10,F58,D$10-SUM(E$17:E58))</f>
        <v>0</v>
      </c>
      <c r="E59" s="377">
        <f>IF(+I14&lt;F58,I14,D59)</f>
        <v>0</v>
      </c>
      <c r="F59" s="54">
        <f t="shared" si="35"/>
        <v>0</v>
      </c>
      <c r="G59" s="378">
        <f t="shared" si="27"/>
        <v>0</v>
      </c>
      <c r="H59" s="359">
        <f t="shared" si="28"/>
        <v>0</v>
      </c>
      <c r="I59" s="51">
        <f t="shared" si="31"/>
        <v>0</v>
      </c>
      <c r="J59" s="51"/>
      <c r="K59" s="112"/>
      <c r="L59" s="53">
        <f t="shared" si="32"/>
        <v>0</v>
      </c>
      <c r="M59" s="112"/>
      <c r="N59" s="53">
        <f t="shared" si="33"/>
        <v>0</v>
      </c>
      <c r="O59" s="53">
        <f t="shared" si="34"/>
        <v>0</v>
      </c>
      <c r="P59" s="1"/>
      <c r="R59" s="1"/>
      <c r="S59" s="1"/>
      <c r="T59" s="1"/>
      <c r="U59" s="1"/>
    </row>
    <row r="60" spans="2:21">
      <c r="B60" t="str">
        <f t="shared" si="30"/>
        <v/>
      </c>
      <c r="C60" s="49">
        <f>IF(D11="","-",+C59+1)</f>
        <v>2054</v>
      </c>
      <c r="D60" s="54">
        <f>IF(F59+SUM(E$17:E59)=D$10,F59,D$10-SUM(E$17:E59))</f>
        <v>0</v>
      </c>
      <c r="E60" s="377">
        <f>IF(+I14&lt;F59,I14,D60)</f>
        <v>0</v>
      </c>
      <c r="F60" s="54">
        <f t="shared" si="35"/>
        <v>0</v>
      </c>
      <c r="G60" s="378">
        <f t="shared" si="27"/>
        <v>0</v>
      </c>
      <c r="H60" s="359">
        <f t="shared" si="28"/>
        <v>0</v>
      </c>
      <c r="I60" s="51">
        <f t="shared" si="31"/>
        <v>0</v>
      </c>
      <c r="J60" s="51"/>
      <c r="K60" s="112"/>
      <c r="L60" s="53">
        <f t="shared" si="32"/>
        <v>0</v>
      </c>
      <c r="M60" s="112"/>
      <c r="N60" s="53">
        <f t="shared" si="33"/>
        <v>0</v>
      </c>
      <c r="O60" s="53">
        <f t="shared" si="34"/>
        <v>0</v>
      </c>
      <c r="P60" s="1"/>
      <c r="R60" s="1"/>
      <c r="S60" s="1"/>
      <c r="T60" s="1"/>
      <c r="U60" s="1"/>
    </row>
    <row r="61" spans="2:21">
      <c r="B61" t="str">
        <f t="shared" si="30"/>
        <v/>
      </c>
      <c r="C61" s="49">
        <f>IF(D11="","-",+C60+1)</f>
        <v>2055</v>
      </c>
      <c r="D61" s="54">
        <f>IF(F60+SUM(E$17:E60)=D$10,F60,D$10-SUM(E$17:E60))</f>
        <v>0</v>
      </c>
      <c r="E61" s="377">
        <f>IF(+I14&lt;F60,I14,D61)</f>
        <v>0</v>
      </c>
      <c r="F61" s="54">
        <f t="shared" si="35"/>
        <v>0</v>
      </c>
      <c r="G61" s="378">
        <f t="shared" si="27"/>
        <v>0</v>
      </c>
      <c r="H61" s="359">
        <f t="shared" si="28"/>
        <v>0</v>
      </c>
      <c r="I61" s="51">
        <f t="shared" si="31"/>
        <v>0</v>
      </c>
      <c r="J61" s="51"/>
      <c r="K61" s="112"/>
      <c r="L61" s="53">
        <f t="shared" si="32"/>
        <v>0</v>
      </c>
      <c r="M61" s="112"/>
      <c r="N61" s="53">
        <f t="shared" si="33"/>
        <v>0</v>
      </c>
      <c r="O61" s="53">
        <f t="shared" si="34"/>
        <v>0</v>
      </c>
      <c r="P61" s="1"/>
      <c r="R61" s="1"/>
      <c r="S61" s="1"/>
      <c r="T61" s="1"/>
      <c r="U61" s="1"/>
    </row>
    <row r="62" spans="2:21">
      <c r="B62" t="str">
        <f t="shared" si="30"/>
        <v/>
      </c>
      <c r="C62" s="49">
        <f>IF(D11="","-",+C61+1)</f>
        <v>2056</v>
      </c>
      <c r="D62" s="54">
        <f>IF(F61+SUM(E$17:E61)=D$10,F61,D$10-SUM(E$17:E61))</f>
        <v>0</v>
      </c>
      <c r="E62" s="377">
        <f>IF(+I14&lt;F61,I14,D62)</f>
        <v>0</v>
      </c>
      <c r="F62" s="54">
        <f t="shared" si="35"/>
        <v>0</v>
      </c>
      <c r="G62" s="388">
        <f t="shared" si="27"/>
        <v>0</v>
      </c>
      <c r="H62" s="359">
        <f t="shared" si="28"/>
        <v>0</v>
      </c>
      <c r="I62" s="51">
        <f t="shared" si="31"/>
        <v>0</v>
      </c>
      <c r="J62" s="51"/>
      <c r="K62" s="112"/>
      <c r="L62" s="53">
        <f t="shared" si="32"/>
        <v>0</v>
      </c>
      <c r="M62" s="112"/>
      <c r="N62" s="53">
        <f t="shared" si="33"/>
        <v>0</v>
      </c>
      <c r="O62" s="53">
        <f t="shared" si="34"/>
        <v>0</v>
      </c>
      <c r="P62" s="1"/>
      <c r="R62" s="1"/>
      <c r="S62" s="1"/>
      <c r="T62" s="1"/>
      <c r="U62" s="1"/>
    </row>
    <row r="63" spans="2:21">
      <c r="B63" t="str">
        <f t="shared" si="30"/>
        <v/>
      </c>
      <c r="C63" s="49">
        <f>IF(D11="","-",+C62+1)</f>
        <v>2057</v>
      </c>
      <c r="D63" s="54">
        <f>IF(F62+SUM(E$17:E62)=D$10,F62,D$10-SUM(E$17:E62))</f>
        <v>0</v>
      </c>
      <c r="E63" s="377">
        <f>IF(+I14&lt;F62,I14,D63)</f>
        <v>0</v>
      </c>
      <c r="F63" s="54">
        <f t="shared" si="35"/>
        <v>0</v>
      </c>
      <c r="G63" s="388">
        <f t="shared" si="27"/>
        <v>0</v>
      </c>
      <c r="H63" s="359">
        <f t="shared" si="28"/>
        <v>0</v>
      </c>
      <c r="I63" s="51">
        <f t="shared" si="31"/>
        <v>0</v>
      </c>
      <c r="J63" s="51"/>
      <c r="K63" s="112"/>
      <c r="L63" s="53">
        <f t="shared" si="32"/>
        <v>0</v>
      </c>
      <c r="M63" s="112"/>
      <c r="N63" s="53">
        <f t="shared" si="33"/>
        <v>0</v>
      </c>
      <c r="O63" s="53">
        <f t="shared" si="34"/>
        <v>0</v>
      </c>
      <c r="P63" s="1"/>
      <c r="R63" s="1"/>
      <c r="S63" s="1"/>
      <c r="T63" s="1"/>
      <c r="U63" s="1"/>
    </row>
    <row r="64" spans="2:21">
      <c r="B64" t="str">
        <f t="shared" si="30"/>
        <v/>
      </c>
      <c r="C64" s="49">
        <f>IF(D11="","-",+C63+1)</f>
        <v>2058</v>
      </c>
      <c r="D64" s="54">
        <f>IF(F63+SUM(E$17:E63)=D$10,F63,D$10-SUM(E$17:E63))</f>
        <v>0</v>
      </c>
      <c r="E64" s="377">
        <f>IF(+I14&lt;F63,I14,D64)</f>
        <v>0</v>
      </c>
      <c r="F64" s="54">
        <f t="shared" si="35"/>
        <v>0</v>
      </c>
      <c r="G64" s="388">
        <f t="shared" si="27"/>
        <v>0</v>
      </c>
      <c r="H64" s="359">
        <f t="shared" si="28"/>
        <v>0</v>
      </c>
      <c r="I64" s="51">
        <f t="shared" si="31"/>
        <v>0</v>
      </c>
      <c r="J64" s="51"/>
      <c r="K64" s="112"/>
      <c r="L64" s="53">
        <f t="shared" si="32"/>
        <v>0</v>
      </c>
      <c r="M64" s="112"/>
      <c r="N64" s="53">
        <f t="shared" si="33"/>
        <v>0</v>
      </c>
      <c r="O64" s="53">
        <f t="shared" si="34"/>
        <v>0</v>
      </c>
      <c r="P64" s="1"/>
      <c r="R64" s="1"/>
      <c r="S64" s="1"/>
      <c r="T64" s="1"/>
      <c r="U64" s="1"/>
    </row>
    <row r="65" spans="2:21">
      <c r="B65" t="str">
        <f t="shared" si="30"/>
        <v/>
      </c>
      <c r="C65" s="49">
        <f>IF(D11="","-",+C64+1)</f>
        <v>2059</v>
      </c>
      <c r="D65" s="54">
        <f>IF(F64+SUM(E$17:E64)=D$10,F64,D$10-SUM(E$17:E64))</f>
        <v>0</v>
      </c>
      <c r="E65" s="377">
        <f>IF(+I14&lt;F64,I14,D65)</f>
        <v>0</v>
      </c>
      <c r="F65" s="54">
        <f t="shared" si="35"/>
        <v>0</v>
      </c>
      <c r="G65" s="388">
        <f t="shared" si="27"/>
        <v>0</v>
      </c>
      <c r="H65" s="359">
        <f t="shared" si="28"/>
        <v>0</v>
      </c>
      <c r="I65" s="51">
        <f t="shared" si="31"/>
        <v>0</v>
      </c>
      <c r="J65" s="51"/>
      <c r="K65" s="112"/>
      <c r="L65" s="53">
        <f t="shared" si="32"/>
        <v>0</v>
      </c>
      <c r="M65" s="112"/>
      <c r="N65" s="53">
        <f t="shared" si="33"/>
        <v>0</v>
      </c>
      <c r="O65" s="53">
        <f t="shared" si="34"/>
        <v>0</v>
      </c>
      <c r="P65" s="1"/>
      <c r="R65" s="1"/>
      <c r="S65" s="1"/>
      <c r="T65" s="1"/>
      <c r="U65" s="1"/>
    </row>
    <row r="66" spans="2:21">
      <c r="B66" t="str">
        <f t="shared" si="30"/>
        <v/>
      </c>
      <c r="C66" s="49">
        <f>IF(D11="","-",+C65+1)</f>
        <v>2060</v>
      </c>
      <c r="D66" s="54">
        <f>IF(F65+SUM(E$17:E65)=D$10,F65,D$10-SUM(E$17:E65))</f>
        <v>0</v>
      </c>
      <c r="E66" s="377">
        <f>IF(+I14&lt;F65,I14,D66)</f>
        <v>0</v>
      </c>
      <c r="F66" s="54">
        <f t="shared" si="35"/>
        <v>0</v>
      </c>
      <c r="G66" s="388">
        <f t="shared" si="27"/>
        <v>0</v>
      </c>
      <c r="H66" s="359">
        <f t="shared" si="28"/>
        <v>0</v>
      </c>
      <c r="I66" s="51">
        <f t="shared" si="31"/>
        <v>0</v>
      </c>
      <c r="J66" s="51"/>
      <c r="K66" s="112"/>
      <c r="L66" s="53">
        <f t="shared" si="32"/>
        <v>0</v>
      </c>
      <c r="M66" s="112"/>
      <c r="N66" s="53">
        <f t="shared" si="33"/>
        <v>0</v>
      </c>
      <c r="O66" s="53">
        <f t="shared" si="34"/>
        <v>0</v>
      </c>
      <c r="P66" s="1"/>
      <c r="R66" s="1"/>
      <c r="S66" s="1"/>
      <c r="T66" s="1"/>
      <c r="U66" s="1"/>
    </row>
    <row r="67" spans="2:21">
      <c r="B67" t="str">
        <f t="shared" si="30"/>
        <v/>
      </c>
      <c r="C67" s="49">
        <f>IF(D11="","-",+C66+1)</f>
        <v>2061</v>
      </c>
      <c r="D67" s="54">
        <f>IF(F66+SUM(E$17:E66)=D$10,F66,D$10-SUM(E$17:E66))</f>
        <v>0</v>
      </c>
      <c r="E67" s="377">
        <f>IF(+I14&lt;F66,I14,D67)</f>
        <v>0</v>
      </c>
      <c r="F67" s="54">
        <f t="shared" si="35"/>
        <v>0</v>
      </c>
      <c r="G67" s="388">
        <f t="shared" si="27"/>
        <v>0</v>
      </c>
      <c r="H67" s="359">
        <f t="shared" si="28"/>
        <v>0</v>
      </c>
      <c r="I67" s="51">
        <f t="shared" si="31"/>
        <v>0</v>
      </c>
      <c r="J67" s="51"/>
      <c r="K67" s="112"/>
      <c r="L67" s="53">
        <f t="shared" si="32"/>
        <v>0</v>
      </c>
      <c r="M67" s="112"/>
      <c r="N67" s="53">
        <f t="shared" si="33"/>
        <v>0</v>
      </c>
      <c r="O67" s="53">
        <f t="shared" si="34"/>
        <v>0</v>
      </c>
      <c r="P67" s="1"/>
      <c r="R67" s="1"/>
      <c r="S67" s="1"/>
      <c r="T67" s="1"/>
      <c r="U67" s="1"/>
    </row>
    <row r="68" spans="2:21">
      <c r="B68" t="str">
        <f t="shared" si="30"/>
        <v/>
      </c>
      <c r="C68" s="49">
        <f>IF(D11="","-",+C67+1)</f>
        <v>2062</v>
      </c>
      <c r="D68" s="54">
        <f>IF(F67+SUM(E$17:E67)=D$10,F67,D$10-SUM(E$17:E67))</f>
        <v>0</v>
      </c>
      <c r="E68" s="377">
        <f>IF(+I14&lt;F67,I14,D68)</f>
        <v>0</v>
      </c>
      <c r="F68" s="54">
        <f t="shared" si="35"/>
        <v>0</v>
      </c>
      <c r="G68" s="388">
        <f t="shared" si="27"/>
        <v>0</v>
      </c>
      <c r="H68" s="359">
        <f t="shared" si="28"/>
        <v>0</v>
      </c>
      <c r="I68" s="51">
        <f t="shared" si="31"/>
        <v>0</v>
      </c>
      <c r="J68" s="51"/>
      <c r="K68" s="112"/>
      <c r="L68" s="53">
        <f t="shared" si="32"/>
        <v>0</v>
      </c>
      <c r="M68" s="112"/>
      <c r="N68" s="53">
        <f t="shared" si="33"/>
        <v>0</v>
      </c>
      <c r="O68" s="53">
        <f t="shared" si="34"/>
        <v>0</v>
      </c>
      <c r="P68" s="1"/>
      <c r="R68" s="1"/>
      <c r="S68" s="1"/>
      <c r="T68" s="1"/>
      <c r="U68" s="1"/>
    </row>
    <row r="69" spans="2:21">
      <c r="B69" t="str">
        <f t="shared" si="30"/>
        <v/>
      </c>
      <c r="C69" s="49">
        <f>IF(D11="","-",+C68+1)</f>
        <v>2063</v>
      </c>
      <c r="D69" s="54">
        <f>IF(F68+SUM(E$17:E68)=D$10,F68,D$10-SUM(E$17:E68))</f>
        <v>0</v>
      </c>
      <c r="E69" s="377">
        <f>IF(+I14&lt;F68,I14,D69)</f>
        <v>0</v>
      </c>
      <c r="F69" s="54">
        <f t="shared" si="35"/>
        <v>0</v>
      </c>
      <c r="G69" s="388">
        <f t="shared" si="27"/>
        <v>0</v>
      </c>
      <c r="H69" s="359">
        <f t="shared" si="28"/>
        <v>0</v>
      </c>
      <c r="I69" s="51">
        <f t="shared" si="31"/>
        <v>0</v>
      </c>
      <c r="J69" s="51"/>
      <c r="K69" s="112"/>
      <c r="L69" s="53">
        <f t="shared" si="32"/>
        <v>0</v>
      </c>
      <c r="M69" s="112"/>
      <c r="N69" s="53">
        <f t="shared" si="33"/>
        <v>0</v>
      </c>
      <c r="O69" s="53">
        <f t="shared" si="34"/>
        <v>0</v>
      </c>
      <c r="P69" s="1"/>
      <c r="R69" s="1"/>
      <c r="S69" s="1"/>
      <c r="T69" s="1"/>
      <c r="U69" s="1"/>
    </row>
    <row r="70" spans="2:21">
      <c r="B70" t="str">
        <f t="shared" si="30"/>
        <v/>
      </c>
      <c r="C70" s="49">
        <f>IF(D11="","-",+C69+1)</f>
        <v>2064</v>
      </c>
      <c r="D70" s="54">
        <f>IF(F69+SUM(E$17:E69)=D$10,F69,D$10-SUM(E$17:E69))</f>
        <v>0</v>
      </c>
      <c r="E70" s="377">
        <f>IF(+I14&lt;F69,I14,D70)</f>
        <v>0</v>
      </c>
      <c r="F70" s="54">
        <f t="shared" si="35"/>
        <v>0</v>
      </c>
      <c r="G70" s="388">
        <f t="shared" si="27"/>
        <v>0</v>
      </c>
      <c r="H70" s="359">
        <f t="shared" si="28"/>
        <v>0</v>
      </c>
      <c r="I70" s="51">
        <f t="shared" si="31"/>
        <v>0</v>
      </c>
      <c r="J70" s="51"/>
      <c r="K70" s="112"/>
      <c r="L70" s="53">
        <f t="shared" si="32"/>
        <v>0</v>
      </c>
      <c r="M70" s="112"/>
      <c r="N70" s="53">
        <f t="shared" si="33"/>
        <v>0</v>
      </c>
      <c r="O70" s="53">
        <f t="shared" si="34"/>
        <v>0</v>
      </c>
      <c r="P70" s="1"/>
      <c r="R70" s="1"/>
      <c r="S70" s="1"/>
      <c r="T70" s="1"/>
      <c r="U70" s="1"/>
    </row>
    <row r="71" spans="2:21">
      <c r="B71" t="str">
        <f t="shared" si="30"/>
        <v/>
      </c>
      <c r="C71" s="49">
        <f>IF(D11="","-",+C70+1)</f>
        <v>2065</v>
      </c>
      <c r="D71" s="54">
        <f>IF(F70+SUM(E$17:E70)=D$10,F70,D$10-SUM(E$17:E70))</f>
        <v>0</v>
      </c>
      <c r="E71" s="377">
        <f>IF(+I14&lt;F70,I14,D71)</f>
        <v>0</v>
      </c>
      <c r="F71" s="54">
        <f t="shared" si="35"/>
        <v>0</v>
      </c>
      <c r="G71" s="388">
        <f t="shared" si="27"/>
        <v>0</v>
      </c>
      <c r="H71" s="359">
        <f t="shared" si="28"/>
        <v>0</v>
      </c>
      <c r="I71" s="51">
        <f t="shared" si="31"/>
        <v>0</v>
      </c>
      <c r="J71" s="51"/>
      <c r="K71" s="112"/>
      <c r="L71" s="53">
        <f t="shared" si="32"/>
        <v>0</v>
      </c>
      <c r="M71" s="112"/>
      <c r="N71" s="53">
        <f t="shared" si="33"/>
        <v>0</v>
      </c>
      <c r="O71" s="53">
        <f t="shared" si="34"/>
        <v>0</v>
      </c>
      <c r="P71" s="1"/>
      <c r="R71" s="1"/>
      <c r="S71" s="1"/>
      <c r="T71" s="1"/>
      <c r="U71" s="1"/>
    </row>
    <row r="72" spans="2:21">
      <c r="B72" t="str">
        <f t="shared" si="30"/>
        <v/>
      </c>
      <c r="C72" s="49">
        <f>IF(D11="","-",+C71+1)</f>
        <v>2066</v>
      </c>
      <c r="D72" s="54">
        <f>IF(F71+SUM(E$17:E71)=D$10,F71,D$10-SUM(E$17:E71))</f>
        <v>0</v>
      </c>
      <c r="E72" s="377">
        <f>IF(+I14&lt;F71,I14,D72)</f>
        <v>0</v>
      </c>
      <c r="F72" s="54">
        <f t="shared" si="35"/>
        <v>0</v>
      </c>
      <c r="G72" s="388">
        <f t="shared" si="27"/>
        <v>0</v>
      </c>
      <c r="H72" s="359">
        <f t="shared" si="28"/>
        <v>0</v>
      </c>
      <c r="I72" s="51">
        <f t="shared" si="31"/>
        <v>0</v>
      </c>
      <c r="J72" s="51"/>
      <c r="K72" s="112"/>
      <c r="L72" s="53">
        <f t="shared" si="32"/>
        <v>0</v>
      </c>
      <c r="M72" s="112"/>
      <c r="N72" s="53">
        <f t="shared" si="33"/>
        <v>0</v>
      </c>
      <c r="O72" s="53">
        <f t="shared" si="34"/>
        <v>0</v>
      </c>
      <c r="P72" s="1"/>
      <c r="R72" s="1"/>
      <c r="S72" s="1"/>
      <c r="T72" s="1"/>
      <c r="U72" s="1"/>
    </row>
    <row r="73" spans="2:21" ht="13.5" thickBot="1">
      <c r="B73" t="str">
        <f t="shared" si="30"/>
        <v/>
      </c>
      <c r="C73" s="58">
        <f>IF(D11="","-",+C72+1)</f>
        <v>2067</v>
      </c>
      <c r="D73" s="59">
        <f>IF(F72+SUM(E$17:E72)=D$10,F72,D$10-SUM(E$17:E72))</f>
        <v>0</v>
      </c>
      <c r="E73" s="389">
        <f>IF(+I14&lt;F72,I14,D73)</f>
        <v>0</v>
      </c>
      <c r="F73" s="59">
        <f t="shared" si="35"/>
        <v>0</v>
      </c>
      <c r="G73" s="390">
        <f t="shared" si="27"/>
        <v>0</v>
      </c>
      <c r="H73" s="357">
        <f t="shared" si="28"/>
        <v>0</v>
      </c>
      <c r="I73" s="62">
        <f t="shared" si="31"/>
        <v>0</v>
      </c>
      <c r="J73" s="51"/>
      <c r="K73" s="113"/>
      <c r="L73" s="63">
        <f t="shared" si="32"/>
        <v>0</v>
      </c>
      <c r="M73" s="113"/>
      <c r="N73" s="63">
        <f t="shared" si="33"/>
        <v>0</v>
      </c>
      <c r="O73" s="63">
        <f t="shared" si="34"/>
        <v>0</v>
      </c>
      <c r="P73" s="1"/>
      <c r="R73" s="1"/>
      <c r="S73" s="1"/>
      <c r="T73" s="1"/>
      <c r="U73" s="1"/>
    </row>
    <row r="74" spans="2:21">
      <c r="C74" s="11" t="s">
        <v>75</v>
      </c>
      <c r="D74" s="242"/>
      <c r="E74" s="242">
        <f>SUM(E17:E73)</f>
        <v>614753.00000000023</v>
      </c>
      <c r="F74" s="242"/>
      <c r="G74" s="242">
        <f>SUM(G17:G73)</f>
        <v>1990305.582571598</v>
      </c>
      <c r="H74" s="242">
        <f>SUM(H17:H73)</f>
        <v>1990305.582571598</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3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66992.539642384814</v>
      </c>
      <c r="N88" s="396">
        <f>IF(J93&lt;D11,0,VLOOKUP(J93,C17:O73,11))</f>
        <v>66992.539642384814</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58895.817521082143</v>
      </c>
      <c r="N89" s="399">
        <f>IF(J93&lt;D11,0,VLOOKUP(J93,C100:P155,7))</f>
        <v>58895.817521082143</v>
      </c>
      <c r="O89" s="70">
        <f>+N89-M89</f>
        <v>0</v>
      </c>
      <c r="P89" s="1"/>
      <c r="Q89" s="1"/>
      <c r="R89" s="1"/>
      <c r="S89" s="1"/>
      <c r="T89" s="1"/>
      <c r="U89" s="1"/>
    </row>
    <row r="90" spans="1:21" ht="13.5" thickBot="1">
      <c r="C90" s="25" t="s">
        <v>82</v>
      </c>
      <c r="D90" s="96" t="str">
        <f>+D7</f>
        <v>Tulsa Power Station Reactor</v>
      </c>
      <c r="E90" s="1"/>
      <c r="F90" s="1"/>
      <c r="G90" s="1"/>
      <c r="H90" s="1"/>
      <c r="I90" s="260"/>
      <c r="J90" s="260"/>
      <c r="K90" s="400"/>
      <c r="L90" s="109" t="s">
        <v>135</v>
      </c>
      <c r="M90" s="401">
        <f>+M89-M88</f>
        <v>-8096.7221213026714</v>
      </c>
      <c r="N90" s="401">
        <f>+N89-N88</f>
        <v>-8096.7221213026714</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tr">
        <f>+D9</f>
        <v>TP2009090</v>
      </c>
      <c r="E92" s="75" t="s">
        <v>310</v>
      </c>
      <c r="F92" s="527">
        <f>F9</f>
        <v>937</v>
      </c>
      <c r="G92" s="75"/>
      <c r="H92" s="75"/>
      <c r="I92" s="75"/>
      <c r="J92" s="75"/>
      <c r="Q92" s="1"/>
      <c r="R92" s="1"/>
      <c r="S92" s="1"/>
      <c r="T92" s="1"/>
      <c r="U92" s="1"/>
    </row>
    <row r="93" spans="1:21">
      <c r="C93" s="34" t="s">
        <v>49</v>
      </c>
      <c r="D93" s="358">
        <v>614753</v>
      </c>
      <c r="E93" s="1" t="s">
        <v>84</v>
      </c>
      <c r="H93" s="2"/>
      <c r="I93" s="2"/>
      <c r="J93" s="36">
        <f>+'OKT.WS.G.BPU.ATRR.True-up'!M16</f>
        <v>2025</v>
      </c>
      <c r="K93" s="33"/>
      <c r="L93" s="242" t="s">
        <v>85</v>
      </c>
      <c r="P93" s="1"/>
      <c r="Q93" s="1"/>
      <c r="R93" s="1"/>
      <c r="S93" s="1"/>
      <c r="T93" s="1"/>
      <c r="U93" s="1"/>
    </row>
    <row r="94" spans="1:21">
      <c r="C94" s="34" t="s">
        <v>52</v>
      </c>
      <c r="D94" s="85">
        <f>IF(D11=I10,"",D11)</f>
        <v>2011</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85">
        <f>IF(D11=I10,"",D12)</f>
        <v>10</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19211.03125</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0" t="s">
        <v>177</v>
      </c>
      <c r="M98" s="365" t="s">
        <v>89</v>
      </c>
      <c r="N98" s="360" t="s">
        <v>177</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B100" t="str">
        <f t="shared" ref="B100:B131" si="36">IF(D100=F99,"","IU")</f>
        <v>IU</v>
      </c>
      <c r="C100" s="49">
        <f>IF(D94= "","-",D94)</f>
        <v>2011</v>
      </c>
      <c r="D100" s="371">
        <v>0</v>
      </c>
      <c r="E100" s="373">
        <v>1766.3534482758621</v>
      </c>
      <c r="F100" s="375">
        <v>612924.64655172417</v>
      </c>
      <c r="G100" s="406">
        <v>306462.32327586209</v>
      </c>
      <c r="H100" s="406">
        <v>24552.570276961298</v>
      </c>
      <c r="I100" s="406">
        <v>24552.570276961298</v>
      </c>
      <c r="J100" s="53">
        <v>0</v>
      </c>
      <c r="K100" s="53"/>
      <c r="L100" s="414">
        <f t="shared" ref="L100:L105" si="37">H100</f>
        <v>24552.570276961298</v>
      </c>
      <c r="M100" s="415">
        <f t="shared" ref="M100:M131" si="38">IF(L100&lt;&gt;0,+H100-L100,0)</f>
        <v>0</v>
      </c>
      <c r="N100" s="376">
        <f t="shared" ref="N100:N105" si="39">I100</f>
        <v>24552.570276961298</v>
      </c>
      <c r="O100" s="415">
        <f t="shared" ref="O100:O131" si="40">IF(N100&lt;&gt;0,+I100-N100,0)</f>
        <v>0</v>
      </c>
      <c r="P100" s="52">
        <f t="shared" ref="P100:P131" si="41">+O100-M100</f>
        <v>0</v>
      </c>
      <c r="Q100" s="1"/>
      <c r="R100" s="1"/>
      <c r="S100" s="1"/>
      <c r="T100" s="1"/>
      <c r="U100" s="1"/>
    </row>
    <row r="101" spans="1:21">
      <c r="B101" t="str">
        <f t="shared" si="36"/>
        <v>IU</v>
      </c>
      <c r="C101" s="49">
        <f>IF(D94="","-",+C100+1)</f>
        <v>2012</v>
      </c>
      <c r="D101" s="371">
        <v>612986.64655172417</v>
      </c>
      <c r="E101" s="373">
        <v>10599.189655172413</v>
      </c>
      <c r="F101" s="375">
        <v>602387.45689655177</v>
      </c>
      <c r="G101" s="375">
        <v>607687.05172413797</v>
      </c>
      <c r="H101" s="373">
        <v>72187.934734594193</v>
      </c>
      <c r="I101" s="374">
        <v>72187.934734594193</v>
      </c>
      <c r="J101" s="53">
        <v>0</v>
      </c>
      <c r="K101" s="415"/>
      <c r="L101" s="416">
        <f t="shared" si="37"/>
        <v>72187.934734594193</v>
      </c>
      <c r="M101" s="415">
        <f t="shared" ref="M101:M106" si="42">IF(L101&lt;&gt;0,+H101-L101,0)</f>
        <v>0</v>
      </c>
      <c r="N101" s="376">
        <f t="shared" si="39"/>
        <v>72187.934734594193</v>
      </c>
      <c r="O101" s="415">
        <f>IF(N101&lt;&gt;0,+I101-N101,0)</f>
        <v>0</v>
      </c>
      <c r="P101" s="53">
        <f>+O101-M101</f>
        <v>0</v>
      </c>
      <c r="Q101" s="1"/>
      <c r="R101" s="1"/>
      <c r="S101" s="1"/>
      <c r="T101" s="1"/>
      <c r="U101" s="1"/>
    </row>
    <row r="102" spans="1:21">
      <c r="B102" t="str">
        <f t="shared" si="36"/>
        <v/>
      </c>
      <c r="C102" s="49">
        <f>IF(D94="","-",+C101+1)</f>
        <v>2013</v>
      </c>
      <c r="D102" s="371">
        <v>602387.45689655177</v>
      </c>
      <c r="E102" s="373">
        <v>10599.189655172413</v>
      </c>
      <c r="F102" s="375">
        <v>591788.26724137936</v>
      </c>
      <c r="G102" s="375">
        <v>597087.86206896557</v>
      </c>
      <c r="H102" s="373">
        <v>78464.169300722831</v>
      </c>
      <c r="I102" s="374">
        <v>78464.169300722831</v>
      </c>
      <c r="J102" s="53">
        <f t="shared" ref="J102:J131" si="43">+I102-H102</f>
        <v>0</v>
      </c>
      <c r="K102" s="415"/>
      <c r="L102" s="416">
        <f t="shared" si="37"/>
        <v>78464.169300722831</v>
      </c>
      <c r="M102" s="415">
        <f t="shared" si="42"/>
        <v>0</v>
      </c>
      <c r="N102" s="376">
        <f t="shared" si="39"/>
        <v>78464.169300722831</v>
      </c>
      <c r="O102" s="415">
        <f>IF(N102&lt;&gt;0,+I102-N102,0)</f>
        <v>0</v>
      </c>
      <c r="P102" s="53">
        <f>+O102-M102</f>
        <v>0</v>
      </c>
      <c r="Q102" s="1"/>
      <c r="R102" s="1"/>
      <c r="S102" s="1"/>
      <c r="T102" s="1"/>
      <c r="U102" s="1"/>
    </row>
    <row r="103" spans="1:21">
      <c r="B103" t="str">
        <f t="shared" si="36"/>
        <v/>
      </c>
      <c r="C103" s="49">
        <f>IF(D94="","-",+C102+1)</f>
        <v>2014</v>
      </c>
      <c r="D103" s="371">
        <v>591788.26724137936</v>
      </c>
      <c r="E103" s="373">
        <v>10599.189655172413</v>
      </c>
      <c r="F103" s="375">
        <v>581189.07758620696</v>
      </c>
      <c r="G103" s="375">
        <v>586488.67241379316</v>
      </c>
      <c r="H103" s="373">
        <v>73672.191823391273</v>
      </c>
      <c r="I103" s="374">
        <v>73672.191823391273</v>
      </c>
      <c r="J103" s="53">
        <v>0</v>
      </c>
      <c r="K103" s="53"/>
      <c r="L103" s="416">
        <f t="shared" si="37"/>
        <v>73672.191823391273</v>
      </c>
      <c r="M103" s="415">
        <f t="shared" si="42"/>
        <v>0</v>
      </c>
      <c r="N103" s="376">
        <f t="shared" si="39"/>
        <v>73672.191823391273</v>
      </c>
      <c r="O103" s="415">
        <f>IF(N103&lt;&gt;0,+I103-N103,0)</f>
        <v>0</v>
      </c>
      <c r="P103" s="53">
        <f>+O103-M103</f>
        <v>0</v>
      </c>
      <c r="Q103" s="1"/>
      <c r="R103" s="1"/>
      <c r="S103" s="1"/>
      <c r="T103" s="1"/>
      <c r="U103" s="1"/>
    </row>
    <row r="104" spans="1:21">
      <c r="B104" t="str">
        <f t="shared" si="36"/>
        <v/>
      </c>
      <c r="C104" s="49">
        <f>IF(D94="","-",+C103+1)</f>
        <v>2015</v>
      </c>
      <c r="D104" s="371">
        <v>581189.07758620696</v>
      </c>
      <c r="E104" s="373">
        <v>12807.354166666666</v>
      </c>
      <c r="F104" s="375">
        <v>568381.72341954033</v>
      </c>
      <c r="G104" s="375">
        <v>574785.40050287358</v>
      </c>
      <c r="H104" s="373">
        <v>76797.884368158106</v>
      </c>
      <c r="I104" s="374">
        <v>76797.884368158106</v>
      </c>
      <c r="J104" s="53">
        <f t="shared" si="43"/>
        <v>0</v>
      </c>
      <c r="K104" s="53"/>
      <c r="L104" s="416">
        <f t="shared" si="37"/>
        <v>76797.884368158106</v>
      </c>
      <c r="M104" s="415">
        <f t="shared" si="42"/>
        <v>0</v>
      </c>
      <c r="N104" s="376">
        <f t="shared" si="39"/>
        <v>76797.884368158106</v>
      </c>
      <c r="O104" s="415">
        <f t="shared" si="40"/>
        <v>0</v>
      </c>
      <c r="P104" s="53">
        <f t="shared" si="41"/>
        <v>0</v>
      </c>
      <c r="Q104" s="1"/>
      <c r="R104" s="1"/>
      <c r="S104" s="1"/>
      <c r="T104" s="1"/>
      <c r="U104" s="1"/>
    </row>
    <row r="105" spans="1:21">
      <c r="B105" t="str">
        <f t="shared" si="36"/>
        <v/>
      </c>
      <c r="C105" s="49">
        <f>IF(D94="","-",+C104+1)</f>
        <v>2016</v>
      </c>
      <c r="D105" s="371">
        <v>568381.72341954033</v>
      </c>
      <c r="E105" s="373">
        <v>12053.980392156862</v>
      </c>
      <c r="F105" s="375">
        <v>556327.74302738346</v>
      </c>
      <c r="G105" s="375">
        <v>562354.7332234619</v>
      </c>
      <c r="H105" s="373">
        <v>72996.058830960712</v>
      </c>
      <c r="I105" s="374">
        <v>72996.058830960712</v>
      </c>
      <c r="J105" s="53">
        <f t="shared" si="43"/>
        <v>0</v>
      </c>
      <c r="K105" s="53"/>
      <c r="L105" s="416">
        <f t="shared" si="37"/>
        <v>72996.058830960712</v>
      </c>
      <c r="M105" s="415">
        <f t="shared" si="42"/>
        <v>0</v>
      </c>
      <c r="N105" s="376">
        <f t="shared" si="39"/>
        <v>72996.058830960712</v>
      </c>
      <c r="O105" s="415">
        <f>IF(N105&lt;&gt;0,+I105-N105,0)</f>
        <v>0</v>
      </c>
      <c r="P105" s="53">
        <f>+O105-M105</f>
        <v>0</v>
      </c>
      <c r="Q105" s="1"/>
      <c r="R105" s="1"/>
      <c r="S105" s="1"/>
      <c r="T105" s="1"/>
      <c r="U105" s="1"/>
    </row>
    <row r="106" spans="1:21">
      <c r="B106" t="str">
        <f t="shared" si="36"/>
        <v/>
      </c>
      <c r="C106" s="49">
        <f>IF(D94="","-",+C105+1)</f>
        <v>2017</v>
      </c>
      <c r="D106" s="371">
        <v>556327.74302738346</v>
      </c>
      <c r="E106" s="373">
        <v>15368.825000000001</v>
      </c>
      <c r="F106" s="375">
        <v>540958.91802738351</v>
      </c>
      <c r="G106" s="375">
        <v>548643.33052738348</v>
      </c>
      <c r="H106" s="373">
        <v>79744.364331325967</v>
      </c>
      <c r="I106" s="374">
        <v>79744.364331325967</v>
      </c>
      <c r="J106" s="53">
        <f t="shared" si="43"/>
        <v>0</v>
      </c>
      <c r="K106" s="53"/>
      <c r="L106" s="416">
        <f t="shared" ref="L106:L111" si="44">H106</f>
        <v>79744.364331325967</v>
      </c>
      <c r="M106" s="415">
        <f t="shared" si="42"/>
        <v>0</v>
      </c>
      <c r="N106" s="376">
        <f t="shared" ref="N106:N111" si="45">I106</f>
        <v>79744.364331325967</v>
      </c>
      <c r="O106" s="415">
        <f>IF(N106&lt;&gt;0,+I106-N106,0)</f>
        <v>0</v>
      </c>
      <c r="P106" s="53">
        <f>+O106-M106</f>
        <v>0</v>
      </c>
      <c r="Q106" s="1"/>
      <c r="R106" s="1"/>
      <c r="S106" s="1"/>
      <c r="T106" s="1"/>
      <c r="U106" s="1"/>
    </row>
    <row r="107" spans="1:21">
      <c r="B107" t="str">
        <f t="shared" si="36"/>
        <v/>
      </c>
      <c r="C107" s="49">
        <f>IF(D94="","-",+C106+1)</f>
        <v>2018</v>
      </c>
      <c r="D107" s="371">
        <v>540958.91802738351</v>
      </c>
      <c r="E107" s="373">
        <v>17076.472222222223</v>
      </c>
      <c r="F107" s="375">
        <v>523882.44580516126</v>
      </c>
      <c r="G107" s="375">
        <v>532420.68191627238</v>
      </c>
      <c r="H107" s="373">
        <v>73280.103356307678</v>
      </c>
      <c r="I107" s="374">
        <v>73280.103356307678</v>
      </c>
      <c r="J107" s="53">
        <f t="shared" si="43"/>
        <v>0</v>
      </c>
      <c r="K107" s="53"/>
      <c r="L107" s="416">
        <f t="shared" si="44"/>
        <v>73280.103356307678</v>
      </c>
      <c r="M107" s="415">
        <f t="shared" ref="M107" si="46">IF(L107&lt;&gt;0,+H107-L107,0)</f>
        <v>0</v>
      </c>
      <c r="N107" s="376">
        <f t="shared" si="45"/>
        <v>73280.103356307678</v>
      </c>
      <c r="O107" s="415">
        <f>IF(N107&lt;&gt;0,+I107-N107,0)</f>
        <v>0</v>
      </c>
      <c r="P107" s="53">
        <f>+O107-M107</f>
        <v>0</v>
      </c>
      <c r="Q107" s="1"/>
      <c r="R107" s="1"/>
      <c r="S107" s="1"/>
      <c r="T107" s="1"/>
      <c r="U107" s="1"/>
    </row>
    <row r="108" spans="1:21">
      <c r="B108" t="str">
        <f t="shared" si="36"/>
        <v/>
      </c>
      <c r="C108" s="49">
        <f>IF(D94="","-",+C107+1)</f>
        <v>2019</v>
      </c>
      <c r="D108" s="371">
        <v>523882.44580516126</v>
      </c>
      <c r="E108" s="373">
        <v>17076.472222222223</v>
      </c>
      <c r="F108" s="375">
        <v>506805.97358293901</v>
      </c>
      <c r="G108" s="375">
        <v>515344.20969405014</v>
      </c>
      <c r="H108" s="373">
        <v>71477.469126557437</v>
      </c>
      <c r="I108" s="374">
        <v>71477.469126557437</v>
      </c>
      <c r="J108" s="53">
        <f t="shared" si="43"/>
        <v>0</v>
      </c>
      <c r="K108" s="53"/>
      <c r="L108" s="416">
        <f t="shared" si="44"/>
        <v>71477.469126557437</v>
      </c>
      <c r="M108" s="415">
        <f t="shared" ref="M108" si="47">IF(L108&lt;&gt;0,+H108-L108,0)</f>
        <v>0</v>
      </c>
      <c r="N108" s="376">
        <f t="shared" si="45"/>
        <v>71477.469126557437</v>
      </c>
      <c r="O108" s="53">
        <f t="shared" si="40"/>
        <v>0</v>
      </c>
      <c r="P108" s="53">
        <f t="shared" si="41"/>
        <v>0</v>
      </c>
      <c r="Q108" s="1"/>
      <c r="R108" s="1"/>
      <c r="S108" s="1"/>
      <c r="T108" s="1"/>
      <c r="U108" s="1"/>
    </row>
    <row r="109" spans="1:21">
      <c r="B109" t="str">
        <f t="shared" si="36"/>
        <v/>
      </c>
      <c r="C109" s="49">
        <f>IF(D94="","-",+C108+1)</f>
        <v>2020</v>
      </c>
      <c r="D109" s="371">
        <v>506805.97358293901</v>
      </c>
      <c r="E109" s="373">
        <v>21955.464285714286</v>
      </c>
      <c r="F109" s="375">
        <v>484850.50929722475</v>
      </c>
      <c r="G109" s="375">
        <v>495828.24144008185</v>
      </c>
      <c r="H109" s="373">
        <v>74718.282345644373</v>
      </c>
      <c r="I109" s="374">
        <v>74718.282345644373</v>
      </c>
      <c r="J109" s="53">
        <f t="shared" si="43"/>
        <v>0</v>
      </c>
      <c r="K109" s="53"/>
      <c r="L109" s="416">
        <f t="shared" si="44"/>
        <v>74718.282345644373</v>
      </c>
      <c r="M109" s="415">
        <f t="shared" ref="M109" si="48">IF(L109&lt;&gt;0,+H109-L109,0)</f>
        <v>0</v>
      </c>
      <c r="N109" s="376">
        <f t="shared" si="45"/>
        <v>74718.282345644373</v>
      </c>
      <c r="O109" s="53">
        <f t="shared" si="40"/>
        <v>0</v>
      </c>
      <c r="P109" s="53">
        <f t="shared" si="41"/>
        <v>0</v>
      </c>
      <c r="Q109" s="1"/>
      <c r="R109" s="1"/>
      <c r="S109" s="1"/>
      <c r="T109" s="1"/>
      <c r="U109" s="1"/>
    </row>
    <row r="110" spans="1:21">
      <c r="B110" t="str">
        <f t="shared" si="36"/>
        <v/>
      </c>
      <c r="C110" s="49">
        <f>IF(D94="","-",+C109+1)</f>
        <v>2021</v>
      </c>
      <c r="D110" s="371">
        <v>484850.50929722475</v>
      </c>
      <c r="E110" s="373">
        <v>24590.12</v>
      </c>
      <c r="F110" s="375">
        <v>460260.38929722476</v>
      </c>
      <c r="G110" s="375">
        <v>472555.44929722475</v>
      </c>
      <c r="H110" s="373">
        <v>80333.712117672912</v>
      </c>
      <c r="I110" s="374">
        <v>80333.712117672912</v>
      </c>
      <c r="J110" s="53">
        <f t="shared" si="43"/>
        <v>0</v>
      </c>
      <c r="K110" s="53"/>
      <c r="L110" s="416">
        <f t="shared" si="44"/>
        <v>80333.712117672912</v>
      </c>
      <c r="M110" s="415">
        <f t="shared" ref="M110" si="49">IF(L110&lt;&gt;0,+H110-L110,0)</f>
        <v>0</v>
      </c>
      <c r="N110" s="376">
        <f t="shared" si="45"/>
        <v>80333.712117672912</v>
      </c>
      <c r="O110" s="53">
        <f t="shared" si="40"/>
        <v>0</v>
      </c>
      <c r="P110" s="53">
        <f t="shared" si="41"/>
        <v>0</v>
      </c>
      <c r="Q110" s="1"/>
      <c r="R110" s="1"/>
      <c r="S110" s="1"/>
      <c r="T110" s="1"/>
      <c r="U110" s="1"/>
    </row>
    <row r="111" spans="1:21">
      <c r="B111" t="str">
        <f t="shared" si="36"/>
        <v/>
      </c>
      <c r="C111" s="49">
        <f>IF(D94="","-",+C110+1)</f>
        <v>2022</v>
      </c>
      <c r="D111" s="371">
        <v>460260.38929722476</v>
      </c>
      <c r="E111" s="373">
        <v>29273.952380952382</v>
      </c>
      <c r="F111" s="375">
        <v>430986.43691627239</v>
      </c>
      <c r="G111" s="375">
        <v>445623.4131067486</v>
      </c>
      <c r="H111" s="373">
        <v>80505.500820738482</v>
      </c>
      <c r="I111" s="374">
        <v>80505.500820738482</v>
      </c>
      <c r="J111" s="53">
        <f t="shared" si="43"/>
        <v>0</v>
      </c>
      <c r="K111" s="53"/>
      <c r="L111" s="416">
        <f t="shared" si="44"/>
        <v>80505.500820738482</v>
      </c>
      <c r="M111" s="415">
        <f t="shared" ref="M111" si="50">IF(L111&lt;&gt;0,+H111-L111,0)</f>
        <v>0</v>
      </c>
      <c r="N111" s="376">
        <f t="shared" si="45"/>
        <v>80505.500820738482</v>
      </c>
      <c r="O111" s="53">
        <f t="shared" ref="O111" si="51">IF(N111&lt;&gt;0,+I111-N111,0)</f>
        <v>0</v>
      </c>
      <c r="P111" s="53">
        <f t="shared" si="41"/>
        <v>0</v>
      </c>
      <c r="Q111" s="1"/>
      <c r="R111" s="1"/>
      <c r="S111" s="1"/>
      <c r="T111" s="1"/>
      <c r="U111" s="1"/>
    </row>
    <row r="112" spans="1:21">
      <c r="B112" t="str">
        <f t="shared" si="36"/>
        <v/>
      </c>
      <c r="C112" s="49">
        <f>IF(D94="","-",+C111+1)</f>
        <v>2023</v>
      </c>
      <c r="D112" s="371">
        <v>430986.43691627239</v>
      </c>
      <c r="E112" s="373">
        <v>32355.42105263158</v>
      </c>
      <c r="F112" s="375">
        <v>398631.01586364082</v>
      </c>
      <c r="G112" s="375">
        <v>414808.7263899566</v>
      </c>
      <c r="H112" s="373">
        <v>77832.627411167428</v>
      </c>
      <c r="I112" s="374">
        <v>77832.627411167428</v>
      </c>
      <c r="J112" s="53">
        <f t="shared" si="43"/>
        <v>0</v>
      </c>
      <c r="K112" s="53"/>
      <c r="L112" s="416">
        <f t="shared" ref="L112" si="52">H112</f>
        <v>77832.627411167428</v>
      </c>
      <c r="M112" s="415">
        <f t="shared" ref="M112" si="53">IF(L112&lt;&gt;0,+H112-L112,0)</f>
        <v>0</v>
      </c>
      <c r="N112" s="376">
        <f t="shared" ref="N112" si="54">I112</f>
        <v>77832.627411167428</v>
      </c>
      <c r="O112" s="53">
        <f t="shared" ref="O112" si="55">IF(N112&lt;&gt;0,+I112-N112,0)</f>
        <v>0</v>
      </c>
      <c r="P112" s="53">
        <f t="shared" ref="P112" si="56">+O112-M112</f>
        <v>0</v>
      </c>
      <c r="Q112" s="1"/>
      <c r="R112" s="1"/>
      <c r="S112" s="1"/>
      <c r="T112" s="1"/>
      <c r="U112" s="1"/>
    </row>
    <row r="113" spans="2:21">
      <c r="B113" t="str">
        <f t="shared" si="36"/>
        <v/>
      </c>
      <c r="C113" s="49">
        <f>IF(D94="","-",+C112+1)</f>
        <v>2024</v>
      </c>
      <c r="D113" s="371">
        <v>398631.01586364082</v>
      </c>
      <c r="E113" s="373">
        <v>36161.941176470587</v>
      </c>
      <c r="F113" s="375">
        <v>362469.07468717021</v>
      </c>
      <c r="G113" s="375">
        <v>380550.04527540551</v>
      </c>
      <c r="H113" s="373">
        <v>78298.423014038213</v>
      </c>
      <c r="I113" s="374">
        <v>78298.423014038213</v>
      </c>
      <c r="J113" s="53">
        <f t="shared" si="43"/>
        <v>0</v>
      </c>
      <c r="K113" s="53"/>
      <c r="L113" s="416">
        <f t="shared" ref="L113" si="57">H113</f>
        <v>78298.423014038213</v>
      </c>
      <c r="M113" s="415">
        <f t="shared" ref="M113" si="58">IF(L113&lt;&gt;0,+H113-L113,0)</f>
        <v>0</v>
      </c>
      <c r="N113" s="376">
        <f t="shared" ref="N113" si="59">I113</f>
        <v>78298.423014038213</v>
      </c>
      <c r="O113" s="53">
        <f t="shared" ref="O113" si="60">IF(N113&lt;&gt;0,+I113-N113,0)</f>
        <v>0</v>
      </c>
      <c r="P113" s="53">
        <f t="shared" ref="P113" si="61">+O113-M113</f>
        <v>0</v>
      </c>
      <c r="Q113" s="1"/>
      <c r="R113" s="1"/>
      <c r="S113" s="1"/>
      <c r="T113" s="1"/>
      <c r="U113" s="1"/>
    </row>
    <row r="114" spans="2:21">
      <c r="B114" t="str">
        <f t="shared" si="36"/>
        <v/>
      </c>
      <c r="C114" s="49">
        <f>IF(D94="","-",+C113+1)</f>
        <v>2025</v>
      </c>
      <c r="D114" s="11">
        <f>IF(F113+SUM(E$100:E113)=D$93,F113,D$93-SUM(E$100:E113))</f>
        <v>362469.07468717021</v>
      </c>
      <c r="E114" s="377">
        <f>IF(+J97&lt;F113,J97,D114)</f>
        <v>19211.03125</v>
      </c>
      <c r="F114" s="54">
        <f t="shared" ref="F114:F132" si="62">+D114-E114</f>
        <v>343258.04343717021</v>
      </c>
      <c r="G114" s="54">
        <f t="shared" ref="G114:G131" si="63">+(F114+D114)/2</f>
        <v>352863.55906217021</v>
      </c>
      <c r="H114" s="459">
        <f t="shared" ref="H114:H155" si="64">(D114+F114)/2*J$95+E114</f>
        <v>58895.817521082143</v>
      </c>
      <c r="I114" s="407">
        <f t="shared" ref="I114:I131" si="65">+J$96*G114+E114</f>
        <v>58895.817521082143</v>
      </c>
      <c r="J114" s="53">
        <f t="shared" si="43"/>
        <v>0</v>
      </c>
      <c r="K114" s="53"/>
      <c r="L114" s="112"/>
      <c r="M114" s="53">
        <f t="shared" si="38"/>
        <v>0</v>
      </c>
      <c r="N114" s="112"/>
      <c r="O114" s="53">
        <f t="shared" si="40"/>
        <v>0</v>
      </c>
      <c r="P114" s="53">
        <f t="shared" si="41"/>
        <v>0</v>
      </c>
      <c r="Q114" s="1"/>
      <c r="R114" s="1"/>
      <c r="S114" s="1"/>
      <c r="T114" s="1"/>
      <c r="U114" s="1"/>
    </row>
    <row r="115" spans="2:21">
      <c r="B115" t="str">
        <f t="shared" si="36"/>
        <v/>
      </c>
      <c r="C115" s="49">
        <f>IF(D94="","-",+C114+1)</f>
        <v>2026</v>
      </c>
      <c r="D115" s="11">
        <f>IF(F114+SUM(E$100:E114)=D$93,F114,D$93-SUM(E$100:E114))</f>
        <v>343258.04343717021</v>
      </c>
      <c r="E115" s="377">
        <f>IF(+J97&lt;F114,J97,D115)</f>
        <v>19211.03125</v>
      </c>
      <c r="F115" s="54">
        <f t="shared" si="62"/>
        <v>324047.01218717021</v>
      </c>
      <c r="G115" s="54">
        <f t="shared" si="63"/>
        <v>333652.52781217021</v>
      </c>
      <c r="H115" s="459">
        <f t="shared" si="64"/>
        <v>56735.249648248871</v>
      </c>
      <c r="I115" s="407">
        <f t="shared" si="65"/>
        <v>56735.249648248871</v>
      </c>
      <c r="J115" s="53">
        <f t="shared" si="43"/>
        <v>0</v>
      </c>
      <c r="K115" s="53"/>
      <c r="L115" s="112"/>
      <c r="M115" s="53">
        <f t="shared" si="38"/>
        <v>0</v>
      </c>
      <c r="N115" s="112"/>
      <c r="O115" s="53">
        <f t="shared" si="40"/>
        <v>0</v>
      </c>
      <c r="P115" s="53">
        <f t="shared" si="41"/>
        <v>0</v>
      </c>
      <c r="Q115" s="1"/>
      <c r="R115" s="1"/>
      <c r="S115" s="1"/>
      <c r="T115" s="1"/>
      <c r="U115" s="1"/>
    </row>
    <row r="116" spans="2:21">
      <c r="B116" t="str">
        <f t="shared" si="36"/>
        <v/>
      </c>
      <c r="C116" s="49">
        <f>IF(D94="","-",+C115+1)</f>
        <v>2027</v>
      </c>
      <c r="D116" s="11">
        <f>IF(F115+SUM(E$100:E115)=D$93,F115,D$93-SUM(E$100:E115))</f>
        <v>324047.01218717021</v>
      </c>
      <c r="E116" s="377">
        <f>IF(+J97&lt;F115,J97,D116)</f>
        <v>19211.03125</v>
      </c>
      <c r="F116" s="54">
        <f t="shared" si="62"/>
        <v>304835.98093717021</v>
      </c>
      <c r="G116" s="54">
        <f t="shared" si="63"/>
        <v>314441.49656217021</v>
      </c>
      <c r="H116" s="459">
        <f t="shared" si="64"/>
        <v>54574.6817754156</v>
      </c>
      <c r="I116" s="407">
        <f t="shared" si="65"/>
        <v>54574.6817754156</v>
      </c>
      <c r="J116" s="53">
        <f t="shared" si="43"/>
        <v>0</v>
      </c>
      <c r="K116" s="53"/>
      <c r="L116" s="112"/>
      <c r="M116" s="53">
        <f t="shared" si="38"/>
        <v>0</v>
      </c>
      <c r="N116" s="112"/>
      <c r="O116" s="53">
        <f t="shared" si="40"/>
        <v>0</v>
      </c>
      <c r="P116" s="53">
        <f t="shared" si="41"/>
        <v>0</v>
      </c>
      <c r="Q116" s="1"/>
      <c r="R116" s="1"/>
      <c r="S116" s="1"/>
      <c r="T116" s="1"/>
      <c r="U116" s="1"/>
    </row>
    <row r="117" spans="2:21">
      <c r="B117" t="str">
        <f t="shared" si="36"/>
        <v/>
      </c>
      <c r="C117" s="49">
        <f>IF(D94="","-",+C116+1)</f>
        <v>2028</v>
      </c>
      <c r="D117" s="11">
        <f>IF(F116+SUM(E$100:E116)=D$93,F116,D$93-SUM(E$100:E116))</f>
        <v>304835.98093717021</v>
      </c>
      <c r="E117" s="377">
        <f>IF(+J97&lt;F116,J97,D117)</f>
        <v>19211.03125</v>
      </c>
      <c r="F117" s="54">
        <f t="shared" si="62"/>
        <v>285624.94968717021</v>
      </c>
      <c r="G117" s="54">
        <f t="shared" si="63"/>
        <v>295230.46531217021</v>
      </c>
      <c r="H117" s="459">
        <f t="shared" si="64"/>
        <v>52414.113902582329</v>
      </c>
      <c r="I117" s="407">
        <f t="shared" si="65"/>
        <v>52414.113902582329</v>
      </c>
      <c r="J117" s="53">
        <f t="shared" si="43"/>
        <v>0</v>
      </c>
      <c r="K117" s="53"/>
      <c r="L117" s="112"/>
      <c r="M117" s="53">
        <f t="shared" si="38"/>
        <v>0</v>
      </c>
      <c r="N117" s="112"/>
      <c r="O117" s="53">
        <f t="shared" si="40"/>
        <v>0</v>
      </c>
      <c r="P117" s="53">
        <f t="shared" si="41"/>
        <v>0</v>
      </c>
      <c r="Q117" s="1"/>
      <c r="R117" s="1"/>
      <c r="S117" s="1"/>
      <c r="T117" s="1"/>
      <c r="U117" s="1"/>
    </row>
    <row r="118" spans="2:21">
      <c r="B118" t="str">
        <f t="shared" si="36"/>
        <v/>
      </c>
      <c r="C118" s="49">
        <f>IF(D94="","-",+C117+1)</f>
        <v>2029</v>
      </c>
      <c r="D118" s="11">
        <f>IF(F117+SUM(E$100:E117)=D$93,F117,D$93-SUM(E$100:E117))</f>
        <v>285624.94968717021</v>
      </c>
      <c r="E118" s="377">
        <f>IF(+J97&lt;F117,J97,D118)</f>
        <v>19211.03125</v>
      </c>
      <c r="F118" s="54">
        <f t="shared" si="62"/>
        <v>266413.91843717021</v>
      </c>
      <c r="G118" s="54">
        <f t="shared" si="63"/>
        <v>276019.43406217021</v>
      </c>
      <c r="H118" s="459">
        <f t="shared" si="64"/>
        <v>50253.546029749064</v>
      </c>
      <c r="I118" s="407">
        <f t="shared" si="65"/>
        <v>50253.546029749064</v>
      </c>
      <c r="J118" s="53">
        <f t="shared" si="43"/>
        <v>0</v>
      </c>
      <c r="K118" s="53"/>
      <c r="L118" s="112"/>
      <c r="M118" s="53">
        <f t="shared" si="38"/>
        <v>0</v>
      </c>
      <c r="N118" s="112"/>
      <c r="O118" s="53">
        <f t="shared" si="40"/>
        <v>0</v>
      </c>
      <c r="P118" s="53">
        <f t="shared" si="41"/>
        <v>0</v>
      </c>
      <c r="Q118" s="1"/>
      <c r="R118" s="1"/>
      <c r="S118" s="1"/>
      <c r="T118" s="1"/>
      <c r="U118" s="1"/>
    </row>
    <row r="119" spans="2:21">
      <c r="B119" t="str">
        <f t="shared" si="36"/>
        <v/>
      </c>
      <c r="C119" s="49">
        <f>IF(D94="","-",+C118+1)</f>
        <v>2030</v>
      </c>
      <c r="D119" s="11">
        <f>IF(F118+SUM(E$100:E118)=D$93,F118,D$93-SUM(E$100:E118))</f>
        <v>266413.91843717021</v>
      </c>
      <c r="E119" s="377">
        <f>IF(+J97&lt;F118,J97,D119)</f>
        <v>19211.03125</v>
      </c>
      <c r="F119" s="54">
        <f t="shared" si="62"/>
        <v>247202.88718717021</v>
      </c>
      <c r="G119" s="54">
        <f t="shared" si="63"/>
        <v>256808.40281217021</v>
      </c>
      <c r="H119" s="459">
        <f t="shared" si="64"/>
        <v>48092.978156915793</v>
      </c>
      <c r="I119" s="407">
        <f t="shared" si="65"/>
        <v>48092.978156915793</v>
      </c>
      <c r="J119" s="53">
        <f t="shared" si="43"/>
        <v>0</v>
      </c>
      <c r="K119" s="53"/>
      <c r="L119" s="112"/>
      <c r="M119" s="53">
        <f t="shared" si="38"/>
        <v>0</v>
      </c>
      <c r="N119" s="112"/>
      <c r="O119" s="53">
        <f t="shared" si="40"/>
        <v>0</v>
      </c>
      <c r="P119" s="53">
        <f t="shared" si="41"/>
        <v>0</v>
      </c>
      <c r="Q119" s="1"/>
      <c r="R119" s="1"/>
      <c r="S119" s="1"/>
      <c r="T119" s="1"/>
      <c r="U119" s="1"/>
    </row>
    <row r="120" spans="2:21">
      <c r="B120" t="str">
        <f t="shared" si="36"/>
        <v/>
      </c>
      <c r="C120" s="49">
        <f>IF(D94="","-",+C119+1)</f>
        <v>2031</v>
      </c>
      <c r="D120" s="11">
        <f>IF(F119+SUM(E$100:E119)=D$93,F119,D$93-SUM(E$100:E119))</f>
        <v>247202.88718717021</v>
      </c>
      <c r="E120" s="377">
        <f>IF(+J97&lt;F119,J97,D120)</f>
        <v>19211.03125</v>
      </c>
      <c r="F120" s="54">
        <f t="shared" si="62"/>
        <v>227991.85593717021</v>
      </c>
      <c r="G120" s="54">
        <f t="shared" si="63"/>
        <v>237597.37156217021</v>
      </c>
      <c r="H120" s="459">
        <f t="shared" si="64"/>
        <v>45932.410284082522</v>
      </c>
      <c r="I120" s="407">
        <f t="shared" si="65"/>
        <v>45932.410284082522</v>
      </c>
      <c r="J120" s="53">
        <f t="shared" si="43"/>
        <v>0</v>
      </c>
      <c r="K120" s="53"/>
      <c r="L120" s="112"/>
      <c r="M120" s="53">
        <f t="shared" si="38"/>
        <v>0</v>
      </c>
      <c r="N120" s="112"/>
      <c r="O120" s="53">
        <f t="shared" si="40"/>
        <v>0</v>
      </c>
      <c r="P120" s="53">
        <f t="shared" si="41"/>
        <v>0</v>
      </c>
      <c r="Q120" s="1"/>
      <c r="R120" s="1"/>
      <c r="S120" s="1"/>
      <c r="T120" s="1"/>
      <c r="U120" s="1"/>
    </row>
    <row r="121" spans="2:21">
      <c r="B121" t="str">
        <f t="shared" si="36"/>
        <v/>
      </c>
      <c r="C121" s="49">
        <f>IF(D94="","-",+C120+1)</f>
        <v>2032</v>
      </c>
      <c r="D121" s="11">
        <f>IF(F120+SUM(E$100:E120)=D$93,F120,D$93-SUM(E$100:E120))</f>
        <v>227991.85593717021</v>
      </c>
      <c r="E121" s="377">
        <f>IF(+J97&lt;F120,J97,D121)</f>
        <v>19211.03125</v>
      </c>
      <c r="F121" s="54">
        <f t="shared" si="62"/>
        <v>208780.82468717021</v>
      </c>
      <c r="G121" s="54">
        <f t="shared" si="63"/>
        <v>218386.34031217021</v>
      </c>
      <c r="H121" s="459">
        <f t="shared" si="64"/>
        <v>43771.84241124925</v>
      </c>
      <c r="I121" s="407">
        <f t="shared" si="65"/>
        <v>43771.84241124925</v>
      </c>
      <c r="J121" s="53">
        <f t="shared" si="43"/>
        <v>0</v>
      </c>
      <c r="K121" s="53"/>
      <c r="L121" s="112"/>
      <c r="M121" s="53">
        <f t="shared" si="38"/>
        <v>0</v>
      </c>
      <c r="N121" s="112"/>
      <c r="O121" s="53">
        <f t="shared" si="40"/>
        <v>0</v>
      </c>
      <c r="P121" s="53">
        <f t="shared" si="41"/>
        <v>0</v>
      </c>
      <c r="Q121" s="1"/>
      <c r="R121" s="1"/>
      <c r="S121" s="1"/>
      <c r="T121" s="1"/>
      <c r="U121" s="1"/>
    </row>
    <row r="122" spans="2:21">
      <c r="B122" t="str">
        <f t="shared" si="36"/>
        <v/>
      </c>
      <c r="C122" s="49">
        <f>IF(D94="","-",+C121+1)</f>
        <v>2033</v>
      </c>
      <c r="D122" s="11">
        <f>IF(F121+SUM(E$100:E121)=D$93,F121,D$93-SUM(E$100:E121))</f>
        <v>208780.82468717021</v>
      </c>
      <c r="E122" s="377">
        <f>IF(+J97&lt;F121,J97,D122)</f>
        <v>19211.03125</v>
      </c>
      <c r="F122" s="54">
        <f t="shared" si="62"/>
        <v>189569.79343717021</v>
      </c>
      <c r="G122" s="54">
        <f t="shared" si="63"/>
        <v>199175.30906217021</v>
      </c>
      <c r="H122" s="459">
        <f t="shared" si="64"/>
        <v>41611.274538415979</v>
      </c>
      <c r="I122" s="407">
        <f t="shared" si="65"/>
        <v>41611.274538415979</v>
      </c>
      <c r="J122" s="53">
        <f t="shared" si="43"/>
        <v>0</v>
      </c>
      <c r="K122" s="53"/>
      <c r="L122" s="112"/>
      <c r="M122" s="53">
        <f t="shared" si="38"/>
        <v>0</v>
      </c>
      <c r="N122" s="112"/>
      <c r="O122" s="53">
        <f t="shared" si="40"/>
        <v>0</v>
      </c>
      <c r="P122" s="53">
        <f t="shared" si="41"/>
        <v>0</v>
      </c>
      <c r="Q122" s="1"/>
      <c r="R122" s="1"/>
      <c r="S122" s="1"/>
      <c r="T122" s="1"/>
      <c r="U122" s="1"/>
    </row>
    <row r="123" spans="2:21">
      <c r="B123" t="str">
        <f t="shared" si="36"/>
        <v/>
      </c>
      <c r="C123" s="49">
        <f>IF(D94="","-",+C122+1)</f>
        <v>2034</v>
      </c>
      <c r="D123" s="11">
        <f>IF(F122+SUM(E$100:E122)=D$93,F122,D$93-SUM(E$100:E122))</f>
        <v>189569.79343717021</v>
      </c>
      <c r="E123" s="377">
        <f>IF(+J97&lt;F122,J97,D123)</f>
        <v>19211.03125</v>
      </c>
      <c r="F123" s="54">
        <f t="shared" si="62"/>
        <v>170358.76218717021</v>
      </c>
      <c r="G123" s="54">
        <f t="shared" si="63"/>
        <v>179964.27781217021</v>
      </c>
      <c r="H123" s="459">
        <f t="shared" si="64"/>
        <v>39450.706665582708</v>
      </c>
      <c r="I123" s="407">
        <f t="shared" si="65"/>
        <v>39450.706665582708</v>
      </c>
      <c r="J123" s="53">
        <f t="shared" si="43"/>
        <v>0</v>
      </c>
      <c r="K123" s="53"/>
      <c r="L123" s="112"/>
      <c r="M123" s="53">
        <f t="shared" si="38"/>
        <v>0</v>
      </c>
      <c r="N123" s="112"/>
      <c r="O123" s="53">
        <f t="shared" si="40"/>
        <v>0</v>
      </c>
      <c r="P123" s="53">
        <f t="shared" si="41"/>
        <v>0</v>
      </c>
      <c r="Q123" s="1"/>
      <c r="R123" s="1"/>
      <c r="S123" s="1"/>
      <c r="T123" s="1"/>
      <c r="U123" s="1"/>
    </row>
    <row r="124" spans="2:21">
      <c r="B124" t="str">
        <f t="shared" si="36"/>
        <v/>
      </c>
      <c r="C124" s="49">
        <f>IF(D94="","-",+C123+1)</f>
        <v>2035</v>
      </c>
      <c r="D124" s="11">
        <f>IF(F123+SUM(E$100:E123)=D$93,F123,D$93-SUM(E$100:E123))</f>
        <v>170358.76218717021</v>
      </c>
      <c r="E124" s="377">
        <f>IF(+J97&lt;F123,J97,D124)</f>
        <v>19211.03125</v>
      </c>
      <c r="F124" s="54">
        <f t="shared" si="62"/>
        <v>151147.73093717021</v>
      </c>
      <c r="G124" s="54">
        <f t="shared" si="63"/>
        <v>160753.24656217021</v>
      </c>
      <c r="H124" s="459">
        <f t="shared" si="64"/>
        <v>37290.138792749443</v>
      </c>
      <c r="I124" s="407">
        <f t="shared" si="65"/>
        <v>37290.138792749443</v>
      </c>
      <c r="J124" s="53">
        <f t="shared" si="43"/>
        <v>0</v>
      </c>
      <c r="K124" s="53"/>
      <c r="L124" s="112"/>
      <c r="M124" s="53">
        <f t="shared" si="38"/>
        <v>0</v>
      </c>
      <c r="N124" s="112"/>
      <c r="O124" s="53">
        <f t="shared" si="40"/>
        <v>0</v>
      </c>
      <c r="P124" s="53">
        <f t="shared" si="41"/>
        <v>0</v>
      </c>
      <c r="Q124" s="1"/>
      <c r="R124" s="1"/>
      <c r="S124" s="1"/>
      <c r="T124" s="1"/>
      <c r="U124" s="1"/>
    </row>
    <row r="125" spans="2:21">
      <c r="B125" t="str">
        <f t="shared" si="36"/>
        <v/>
      </c>
      <c r="C125" s="49">
        <f>IF(D94="","-",+C124+1)</f>
        <v>2036</v>
      </c>
      <c r="D125" s="11">
        <f>IF(F124+SUM(E$100:E124)=D$93,F124,D$93-SUM(E$100:E124))</f>
        <v>151147.73093717021</v>
      </c>
      <c r="E125" s="377">
        <f>IF(+J97&lt;F124,J97,D125)</f>
        <v>19211.03125</v>
      </c>
      <c r="F125" s="54">
        <f t="shared" si="62"/>
        <v>131936.69968717021</v>
      </c>
      <c r="G125" s="54">
        <f t="shared" si="63"/>
        <v>141542.21531217021</v>
      </c>
      <c r="H125" s="459">
        <f t="shared" si="64"/>
        <v>35129.570919916172</v>
      </c>
      <c r="I125" s="407">
        <f t="shared" si="65"/>
        <v>35129.570919916172</v>
      </c>
      <c r="J125" s="53">
        <f t="shared" si="43"/>
        <v>0</v>
      </c>
      <c r="K125" s="53"/>
      <c r="L125" s="112"/>
      <c r="M125" s="53">
        <f t="shared" si="38"/>
        <v>0</v>
      </c>
      <c r="N125" s="112"/>
      <c r="O125" s="53">
        <f t="shared" si="40"/>
        <v>0</v>
      </c>
      <c r="P125" s="53">
        <f t="shared" si="41"/>
        <v>0</v>
      </c>
      <c r="Q125" s="1"/>
      <c r="R125" s="1"/>
      <c r="S125" s="1"/>
      <c r="T125" s="1"/>
      <c r="U125" s="1"/>
    </row>
    <row r="126" spans="2:21">
      <c r="B126" t="str">
        <f t="shared" si="36"/>
        <v/>
      </c>
      <c r="C126" s="49">
        <f>IF(D94="","-",+C125+1)</f>
        <v>2037</v>
      </c>
      <c r="D126" s="11">
        <f>IF(F125+SUM(E$100:E125)=D$93,F125,D$93-SUM(E$100:E125))</f>
        <v>131936.69968717021</v>
      </c>
      <c r="E126" s="377">
        <f>IF(+J97&lt;F125,J97,D126)</f>
        <v>19211.03125</v>
      </c>
      <c r="F126" s="54">
        <f t="shared" si="62"/>
        <v>112725.66843717021</v>
      </c>
      <c r="G126" s="54">
        <f t="shared" si="63"/>
        <v>122331.18406217021</v>
      </c>
      <c r="H126" s="459">
        <f t="shared" si="64"/>
        <v>32969.003047082901</v>
      </c>
      <c r="I126" s="407">
        <f t="shared" si="65"/>
        <v>32969.003047082901</v>
      </c>
      <c r="J126" s="53">
        <f t="shared" si="43"/>
        <v>0</v>
      </c>
      <c r="K126" s="53"/>
      <c r="L126" s="112"/>
      <c r="M126" s="53">
        <f t="shared" si="38"/>
        <v>0</v>
      </c>
      <c r="N126" s="112"/>
      <c r="O126" s="53">
        <f t="shared" si="40"/>
        <v>0</v>
      </c>
      <c r="P126" s="53">
        <f t="shared" si="41"/>
        <v>0</v>
      </c>
      <c r="Q126" s="1"/>
      <c r="R126" s="1"/>
      <c r="S126" s="1"/>
      <c r="T126" s="1"/>
      <c r="U126" s="1"/>
    </row>
    <row r="127" spans="2:21">
      <c r="B127" t="str">
        <f t="shared" si="36"/>
        <v/>
      </c>
      <c r="C127" s="49">
        <f>IF(D94="","-",+C126+1)</f>
        <v>2038</v>
      </c>
      <c r="D127" s="11">
        <f>IF(F126+SUM(E$100:E126)=D$93,F126,D$93-SUM(E$100:E126))</f>
        <v>112725.66843717021</v>
      </c>
      <c r="E127" s="377">
        <f>IF(+J97&lt;F126,J97,D127)</f>
        <v>19211.03125</v>
      </c>
      <c r="F127" s="54">
        <f t="shared" si="62"/>
        <v>93514.637187170214</v>
      </c>
      <c r="G127" s="54">
        <f t="shared" si="63"/>
        <v>103120.15281217021</v>
      </c>
      <c r="H127" s="459">
        <f t="shared" si="64"/>
        <v>30808.435174249633</v>
      </c>
      <c r="I127" s="407">
        <f t="shared" si="65"/>
        <v>30808.435174249633</v>
      </c>
      <c r="J127" s="53">
        <f t="shared" si="43"/>
        <v>0</v>
      </c>
      <c r="K127" s="53"/>
      <c r="L127" s="112"/>
      <c r="M127" s="53">
        <f t="shared" si="38"/>
        <v>0</v>
      </c>
      <c r="N127" s="112"/>
      <c r="O127" s="53">
        <f t="shared" si="40"/>
        <v>0</v>
      </c>
      <c r="P127" s="53">
        <f t="shared" si="41"/>
        <v>0</v>
      </c>
      <c r="Q127" s="1"/>
      <c r="R127" s="1"/>
      <c r="S127" s="1"/>
      <c r="T127" s="1"/>
      <c r="U127" s="1"/>
    </row>
    <row r="128" spans="2:21">
      <c r="B128" t="str">
        <f t="shared" si="36"/>
        <v/>
      </c>
      <c r="C128" s="49">
        <f>IF(D94="","-",+C127+1)</f>
        <v>2039</v>
      </c>
      <c r="D128" s="11">
        <f>IF(F127+SUM(E$100:E127)=D$93,F127,D$93-SUM(E$100:E127))</f>
        <v>93514.637187170214</v>
      </c>
      <c r="E128" s="377">
        <f>IF(+J97&lt;F127,J97,D128)</f>
        <v>19211.03125</v>
      </c>
      <c r="F128" s="54">
        <f t="shared" si="62"/>
        <v>74303.605937170214</v>
      </c>
      <c r="G128" s="54">
        <f t="shared" si="63"/>
        <v>83909.121562170214</v>
      </c>
      <c r="H128" s="459">
        <f t="shared" si="64"/>
        <v>28647.867301416365</v>
      </c>
      <c r="I128" s="407">
        <f t="shared" si="65"/>
        <v>28647.867301416365</v>
      </c>
      <c r="J128" s="53">
        <f t="shared" si="43"/>
        <v>0</v>
      </c>
      <c r="K128" s="53"/>
      <c r="L128" s="112"/>
      <c r="M128" s="53">
        <f t="shared" si="38"/>
        <v>0</v>
      </c>
      <c r="N128" s="112"/>
      <c r="O128" s="53">
        <f t="shared" si="40"/>
        <v>0</v>
      </c>
      <c r="P128" s="53">
        <f t="shared" si="41"/>
        <v>0</v>
      </c>
      <c r="Q128" s="1"/>
      <c r="R128" s="1"/>
      <c r="S128" s="1"/>
      <c r="T128" s="1"/>
      <c r="U128" s="1"/>
    </row>
    <row r="129" spans="2:21">
      <c r="B129" t="str">
        <f t="shared" si="36"/>
        <v/>
      </c>
      <c r="C129" s="49">
        <f>IF(D94="","-",+C128+1)</f>
        <v>2040</v>
      </c>
      <c r="D129" s="11">
        <f>IF(F128+SUM(E$100:E128)=D$93,F128,D$93-SUM(E$100:E128))</f>
        <v>74303.605937170214</v>
      </c>
      <c r="E129" s="377">
        <f>IF(+J97&lt;F128,J97,D129)</f>
        <v>19211.03125</v>
      </c>
      <c r="F129" s="54">
        <f t="shared" si="62"/>
        <v>55092.574687170214</v>
      </c>
      <c r="G129" s="54">
        <f t="shared" si="63"/>
        <v>64698.090312170214</v>
      </c>
      <c r="H129" s="459">
        <f t="shared" si="64"/>
        <v>26487.299428583094</v>
      </c>
      <c r="I129" s="407">
        <f t="shared" si="65"/>
        <v>26487.299428583094</v>
      </c>
      <c r="J129" s="53">
        <f t="shared" si="43"/>
        <v>0</v>
      </c>
      <c r="K129" s="53"/>
      <c r="L129" s="112"/>
      <c r="M129" s="53">
        <f t="shared" si="38"/>
        <v>0</v>
      </c>
      <c r="N129" s="112"/>
      <c r="O129" s="53">
        <f t="shared" si="40"/>
        <v>0</v>
      </c>
      <c r="P129" s="53">
        <f t="shared" si="41"/>
        <v>0</v>
      </c>
      <c r="Q129" s="1"/>
      <c r="R129" s="1"/>
      <c r="S129" s="1"/>
      <c r="T129" s="1"/>
      <c r="U129" s="1"/>
    </row>
    <row r="130" spans="2:21">
      <c r="B130" t="str">
        <f t="shared" si="36"/>
        <v/>
      </c>
      <c r="C130" s="49">
        <f>IF(D94="","-",+C129+1)</f>
        <v>2041</v>
      </c>
      <c r="D130" s="11">
        <f>IF(F129+SUM(E$100:E129)=D$93,F129,D$93-SUM(E$100:E129))</f>
        <v>55092.574687170214</v>
      </c>
      <c r="E130" s="377">
        <f>IF(+J97&lt;F129,J97,D130)</f>
        <v>19211.03125</v>
      </c>
      <c r="F130" s="54">
        <f t="shared" si="62"/>
        <v>35881.543437170214</v>
      </c>
      <c r="G130" s="54">
        <f t="shared" si="63"/>
        <v>45487.059062170214</v>
      </c>
      <c r="H130" s="459">
        <f t="shared" si="64"/>
        <v>24326.731555749822</v>
      </c>
      <c r="I130" s="407">
        <f t="shared" si="65"/>
        <v>24326.731555749822</v>
      </c>
      <c r="J130" s="53">
        <f t="shared" si="43"/>
        <v>0</v>
      </c>
      <c r="K130" s="53"/>
      <c r="L130" s="112"/>
      <c r="M130" s="53">
        <f t="shared" si="38"/>
        <v>0</v>
      </c>
      <c r="N130" s="112"/>
      <c r="O130" s="53">
        <f t="shared" si="40"/>
        <v>0</v>
      </c>
      <c r="P130" s="53">
        <f t="shared" si="41"/>
        <v>0</v>
      </c>
      <c r="Q130" s="1"/>
      <c r="R130" s="1"/>
      <c r="S130" s="1"/>
      <c r="T130" s="1"/>
      <c r="U130" s="1"/>
    </row>
    <row r="131" spans="2:21">
      <c r="B131" t="str">
        <f t="shared" si="36"/>
        <v/>
      </c>
      <c r="C131" s="49">
        <f>IF(D94="","-",+C130+1)</f>
        <v>2042</v>
      </c>
      <c r="D131" s="11">
        <f>IF(F130+SUM(E$100:E130)=D$93,F130,D$93-SUM(E$100:E130))</f>
        <v>35881.543437170214</v>
      </c>
      <c r="E131" s="377">
        <f>IF(+J97&lt;F130,J97,D131)</f>
        <v>19211.03125</v>
      </c>
      <c r="F131" s="54">
        <f t="shared" si="62"/>
        <v>16670.512187170214</v>
      </c>
      <c r="G131" s="54">
        <f t="shared" si="63"/>
        <v>26276.027812170214</v>
      </c>
      <c r="H131" s="459">
        <f t="shared" si="64"/>
        <v>22166.163682916555</v>
      </c>
      <c r="I131" s="407">
        <f t="shared" si="65"/>
        <v>22166.163682916555</v>
      </c>
      <c r="J131" s="53">
        <f t="shared" si="43"/>
        <v>0</v>
      </c>
      <c r="K131" s="53"/>
      <c r="L131" s="112"/>
      <c r="M131" s="53">
        <f t="shared" si="38"/>
        <v>0</v>
      </c>
      <c r="N131" s="112"/>
      <c r="O131" s="53">
        <f t="shared" si="40"/>
        <v>0</v>
      </c>
      <c r="P131" s="53">
        <f t="shared" si="41"/>
        <v>0</v>
      </c>
      <c r="Q131" s="1"/>
      <c r="R131" s="1"/>
      <c r="S131" s="1"/>
      <c r="T131" s="1"/>
      <c r="U131" s="1"/>
    </row>
    <row r="132" spans="2:21">
      <c r="B132" t="str">
        <f t="shared" ref="B132:B155" si="66">IF(D132=F131,"","IU")</f>
        <v/>
      </c>
      <c r="C132" s="49">
        <f>IF(D94="","-",+C131+1)</f>
        <v>2043</v>
      </c>
      <c r="D132" s="11">
        <f>IF(F131+SUM(E$100:E131)=D$93,F131,D$93-SUM(E$100:E131))</f>
        <v>16670.512187170214</v>
      </c>
      <c r="E132" s="377">
        <f>IF(+J97&lt;F131,J97,D132)</f>
        <v>16670.512187170214</v>
      </c>
      <c r="F132" s="54">
        <f t="shared" si="62"/>
        <v>0</v>
      </c>
      <c r="G132" s="54">
        <f t="shared" ref="G132:G155" si="67">+(F132+D132)/2</f>
        <v>8335.256093585107</v>
      </c>
      <c r="H132" s="459">
        <f t="shared" si="64"/>
        <v>17607.936435420172</v>
      </c>
      <c r="I132" s="407">
        <f t="shared" ref="I132:I155" si="68">+J$96*G132+E132</f>
        <v>17607.936435420172</v>
      </c>
      <c r="J132" s="53">
        <f t="shared" ref="J132:J155" si="69">+I132-H132</f>
        <v>0</v>
      </c>
      <c r="K132" s="53"/>
      <c r="L132" s="112"/>
      <c r="M132" s="53">
        <f t="shared" ref="M132:M155" si="70">IF(L132&lt;&gt;0,+H132-L132,0)</f>
        <v>0</v>
      </c>
      <c r="N132" s="112"/>
      <c r="O132" s="53">
        <f t="shared" ref="O132:O155" si="71">IF(N132&lt;&gt;0,+I132-N132,0)</f>
        <v>0</v>
      </c>
      <c r="P132" s="53">
        <f t="shared" ref="P132:P155" si="72">+O132-M132</f>
        <v>0</v>
      </c>
      <c r="Q132" s="1"/>
      <c r="R132" s="1"/>
      <c r="S132" s="1"/>
      <c r="T132" s="1"/>
      <c r="U132" s="1"/>
    </row>
    <row r="133" spans="2:21">
      <c r="B133" t="str">
        <f t="shared" si="66"/>
        <v/>
      </c>
      <c r="C133" s="49">
        <f>IF(D94="","-",+C132+1)</f>
        <v>2044</v>
      </c>
      <c r="D133" s="11">
        <f>IF(F132+SUM(E$100:E132)=D$93,F132,D$93-SUM(E$100:E132))</f>
        <v>0</v>
      </c>
      <c r="E133" s="377">
        <f>IF(+J97&lt;F132,J97,D133)</f>
        <v>0</v>
      </c>
      <c r="F133" s="54">
        <f t="shared" ref="F133:F155" si="73">+D133-E133</f>
        <v>0</v>
      </c>
      <c r="G133" s="54">
        <f t="shared" si="67"/>
        <v>0</v>
      </c>
      <c r="H133" s="459">
        <f t="shared" si="64"/>
        <v>0</v>
      </c>
      <c r="I133" s="407">
        <f t="shared" si="68"/>
        <v>0</v>
      </c>
      <c r="J133" s="53">
        <f t="shared" si="69"/>
        <v>0</v>
      </c>
      <c r="K133" s="53"/>
      <c r="L133" s="112"/>
      <c r="M133" s="53">
        <f t="shared" si="70"/>
        <v>0</v>
      </c>
      <c r="N133" s="112"/>
      <c r="O133" s="53">
        <f t="shared" si="71"/>
        <v>0</v>
      </c>
      <c r="P133" s="53">
        <f t="shared" si="72"/>
        <v>0</v>
      </c>
      <c r="Q133" s="1"/>
      <c r="R133" s="1"/>
      <c r="S133" s="1"/>
      <c r="T133" s="1"/>
      <c r="U133" s="1"/>
    </row>
    <row r="134" spans="2:21">
      <c r="B134" t="str">
        <f t="shared" si="66"/>
        <v/>
      </c>
      <c r="C134" s="49">
        <f>IF(D94="","-",+C133+1)</f>
        <v>2045</v>
      </c>
      <c r="D134" s="11">
        <f>IF(F133+SUM(E$100:E133)=D$93,F133,D$93-SUM(E$100:E133))</f>
        <v>0</v>
      </c>
      <c r="E134" s="377">
        <f>IF(+J97&lt;F133,J97,D134)</f>
        <v>0</v>
      </c>
      <c r="F134" s="54">
        <f t="shared" si="73"/>
        <v>0</v>
      </c>
      <c r="G134" s="54">
        <f t="shared" si="67"/>
        <v>0</v>
      </c>
      <c r="H134" s="459">
        <f t="shared" si="64"/>
        <v>0</v>
      </c>
      <c r="I134" s="407">
        <f t="shared" si="68"/>
        <v>0</v>
      </c>
      <c r="J134" s="53">
        <f t="shared" si="69"/>
        <v>0</v>
      </c>
      <c r="K134" s="53"/>
      <c r="L134" s="112"/>
      <c r="M134" s="53">
        <f t="shared" si="70"/>
        <v>0</v>
      </c>
      <c r="N134" s="112"/>
      <c r="O134" s="53">
        <f t="shared" si="71"/>
        <v>0</v>
      </c>
      <c r="P134" s="53">
        <f t="shared" si="72"/>
        <v>0</v>
      </c>
      <c r="Q134" s="1"/>
      <c r="R134" s="1"/>
      <c r="S134" s="1"/>
      <c r="T134" s="1"/>
      <c r="U134" s="1"/>
    </row>
    <row r="135" spans="2:21">
      <c r="B135" t="str">
        <f t="shared" si="66"/>
        <v/>
      </c>
      <c r="C135" s="49">
        <f>IF(D94="","-",+C134+1)</f>
        <v>2046</v>
      </c>
      <c r="D135" s="11">
        <f>IF(F134+SUM(E$100:E134)=D$93,F134,D$93-SUM(E$100:E134))</f>
        <v>0</v>
      </c>
      <c r="E135" s="377">
        <f>IF(+J97&lt;F134,J97,D135)</f>
        <v>0</v>
      </c>
      <c r="F135" s="54">
        <f t="shared" si="73"/>
        <v>0</v>
      </c>
      <c r="G135" s="54">
        <f t="shared" si="67"/>
        <v>0</v>
      </c>
      <c r="H135" s="459">
        <f t="shared" si="64"/>
        <v>0</v>
      </c>
      <c r="I135" s="407">
        <f t="shared" si="68"/>
        <v>0</v>
      </c>
      <c r="J135" s="53">
        <f t="shared" si="69"/>
        <v>0</v>
      </c>
      <c r="K135" s="53"/>
      <c r="L135" s="112"/>
      <c r="M135" s="53">
        <f t="shared" si="70"/>
        <v>0</v>
      </c>
      <c r="N135" s="112"/>
      <c r="O135" s="53">
        <f t="shared" si="71"/>
        <v>0</v>
      </c>
      <c r="P135" s="53">
        <f t="shared" si="72"/>
        <v>0</v>
      </c>
      <c r="Q135" s="1"/>
      <c r="R135" s="1"/>
      <c r="S135" s="1"/>
      <c r="T135" s="1"/>
      <c r="U135" s="1"/>
    </row>
    <row r="136" spans="2:21">
      <c r="B136" t="str">
        <f t="shared" si="66"/>
        <v/>
      </c>
      <c r="C136" s="49">
        <f>IF(D94="","-",+C135+1)</f>
        <v>2047</v>
      </c>
      <c r="D136" s="11">
        <f>IF(F135+SUM(E$100:E135)=D$93,F135,D$93-SUM(E$100:E135))</f>
        <v>0</v>
      </c>
      <c r="E136" s="377">
        <f>IF(+J97&lt;F135,J97,D136)</f>
        <v>0</v>
      </c>
      <c r="F136" s="54">
        <f t="shared" si="73"/>
        <v>0</v>
      </c>
      <c r="G136" s="54">
        <f t="shared" si="67"/>
        <v>0</v>
      </c>
      <c r="H136" s="459">
        <f t="shared" si="64"/>
        <v>0</v>
      </c>
      <c r="I136" s="407">
        <f t="shared" si="68"/>
        <v>0</v>
      </c>
      <c r="J136" s="53">
        <f t="shared" si="69"/>
        <v>0</v>
      </c>
      <c r="K136" s="53"/>
      <c r="L136" s="112"/>
      <c r="M136" s="53">
        <f t="shared" si="70"/>
        <v>0</v>
      </c>
      <c r="N136" s="112"/>
      <c r="O136" s="53">
        <f t="shared" si="71"/>
        <v>0</v>
      </c>
      <c r="P136" s="53">
        <f t="shared" si="72"/>
        <v>0</v>
      </c>
      <c r="Q136" s="1"/>
      <c r="R136" s="1"/>
      <c r="S136" s="1"/>
      <c r="T136" s="1"/>
      <c r="U136" s="1"/>
    </row>
    <row r="137" spans="2:21">
      <c r="B137" t="str">
        <f t="shared" si="66"/>
        <v/>
      </c>
      <c r="C137" s="49">
        <f>IF(D94="","-",+C136+1)</f>
        <v>2048</v>
      </c>
      <c r="D137" s="11">
        <f>IF(F136+SUM(E$100:E136)=D$93,F136,D$93-SUM(E$100:E136))</f>
        <v>0</v>
      </c>
      <c r="E137" s="377">
        <f>IF(+J97&lt;F136,J97,D137)</f>
        <v>0</v>
      </c>
      <c r="F137" s="54">
        <f t="shared" si="73"/>
        <v>0</v>
      </c>
      <c r="G137" s="54">
        <f t="shared" si="67"/>
        <v>0</v>
      </c>
      <c r="H137" s="459">
        <f t="shared" si="64"/>
        <v>0</v>
      </c>
      <c r="I137" s="407">
        <f t="shared" si="68"/>
        <v>0</v>
      </c>
      <c r="J137" s="53">
        <f t="shared" si="69"/>
        <v>0</v>
      </c>
      <c r="K137" s="53"/>
      <c r="L137" s="112"/>
      <c r="M137" s="53">
        <f t="shared" si="70"/>
        <v>0</v>
      </c>
      <c r="N137" s="112"/>
      <c r="O137" s="53">
        <f t="shared" si="71"/>
        <v>0</v>
      </c>
      <c r="P137" s="53">
        <f t="shared" si="72"/>
        <v>0</v>
      </c>
      <c r="Q137" s="1"/>
      <c r="R137" s="1"/>
      <c r="S137" s="1"/>
      <c r="T137" s="1"/>
      <c r="U137" s="1"/>
    </row>
    <row r="138" spans="2:21">
      <c r="B138" t="str">
        <f t="shared" si="66"/>
        <v/>
      </c>
      <c r="C138" s="49">
        <f>IF(D94="","-",+C137+1)</f>
        <v>2049</v>
      </c>
      <c r="D138" s="11">
        <f>IF(F137+SUM(E$100:E137)=D$93,F137,D$93-SUM(E$100:E137))</f>
        <v>0</v>
      </c>
      <c r="E138" s="377">
        <f>IF(+J97&lt;F137,J97,D138)</f>
        <v>0</v>
      </c>
      <c r="F138" s="54">
        <f t="shared" si="73"/>
        <v>0</v>
      </c>
      <c r="G138" s="54">
        <f t="shared" si="67"/>
        <v>0</v>
      </c>
      <c r="H138" s="459">
        <f t="shared" si="64"/>
        <v>0</v>
      </c>
      <c r="I138" s="407">
        <f t="shared" si="68"/>
        <v>0</v>
      </c>
      <c r="J138" s="53">
        <f t="shared" si="69"/>
        <v>0</v>
      </c>
      <c r="K138" s="53"/>
      <c r="L138" s="112"/>
      <c r="M138" s="53">
        <f t="shared" si="70"/>
        <v>0</v>
      </c>
      <c r="N138" s="112"/>
      <c r="O138" s="53">
        <f t="shared" si="71"/>
        <v>0</v>
      </c>
      <c r="P138" s="53">
        <f t="shared" si="72"/>
        <v>0</v>
      </c>
      <c r="Q138" s="1"/>
      <c r="R138" s="1"/>
      <c r="S138" s="1"/>
      <c r="T138" s="1"/>
      <c r="U138" s="1"/>
    </row>
    <row r="139" spans="2:21">
      <c r="B139" t="str">
        <f t="shared" si="66"/>
        <v/>
      </c>
      <c r="C139" s="49">
        <f>IF(D94="","-",+C138+1)</f>
        <v>2050</v>
      </c>
      <c r="D139" s="11">
        <f>IF(F138+SUM(E$100:E138)=D$93,F138,D$93-SUM(E$100:E138))</f>
        <v>0</v>
      </c>
      <c r="E139" s="377">
        <f>IF(+J97&lt;F138,J97,D139)</f>
        <v>0</v>
      </c>
      <c r="F139" s="54">
        <f t="shared" si="73"/>
        <v>0</v>
      </c>
      <c r="G139" s="54">
        <f t="shared" si="67"/>
        <v>0</v>
      </c>
      <c r="H139" s="459">
        <f t="shared" si="64"/>
        <v>0</v>
      </c>
      <c r="I139" s="407">
        <f t="shared" si="68"/>
        <v>0</v>
      </c>
      <c r="J139" s="53">
        <f t="shared" si="69"/>
        <v>0</v>
      </c>
      <c r="K139" s="53"/>
      <c r="L139" s="112"/>
      <c r="M139" s="53">
        <f t="shared" si="70"/>
        <v>0</v>
      </c>
      <c r="N139" s="112"/>
      <c r="O139" s="53">
        <f t="shared" si="71"/>
        <v>0</v>
      </c>
      <c r="P139" s="53">
        <f t="shared" si="72"/>
        <v>0</v>
      </c>
      <c r="Q139" s="1"/>
      <c r="R139" s="1"/>
      <c r="S139" s="1"/>
      <c r="T139" s="1"/>
      <c r="U139" s="1"/>
    </row>
    <row r="140" spans="2:21">
      <c r="B140" t="str">
        <f t="shared" si="66"/>
        <v/>
      </c>
      <c r="C140" s="49">
        <f>IF(D94="","-",+C139+1)</f>
        <v>2051</v>
      </c>
      <c r="D140" s="11">
        <f>IF(F139+SUM(E$100:E139)=D$93,F139,D$93-SUM(E$100:E139))</f>
        <v>0</v>
      </c>
      <c r="E140" s="377">
        <f>IF(+J97&lt;F139,J97,D140)</f>
        <v>0</v>
      </c>
      <c r="F140" s="54">
        <f t="shared" si="73"/>
        <v>0</v>
      </c>
      <c r="G140" s="54">
        <f t="shared" si="67"/>
        <v>0</v>
      </c>
      <c r="H140" s="459">
        <f t="shared" si="64"/>
        <v>0</v>
      </c>
      <c r="I140" s="407">
        <f t="shared" si="68"/>
        <v>0</v>
      </c>
      <c r="J140" s="53">
        <f t="shared" si="69"/>
        <v>0</v>
      </c>
      <c r="K140" s="53"/>
      <c r="L140" s="112"/>
      <c r="M140" s="53">
        <f t="shared" si="70"/>
        <v>0</v>
      </c>
      <c r="N140" s="112"/>
      <c r="O140" s="53">
        <f t="shared" si="71"/>
        <v>0</v>
      </c>
      <c r="P140" s="53">
        <f t="shared" si="72"/>
        <v>0</v>
      </c>
      <c r="Q140" s="1"/>
      <c r="R140" s="1"/>
      <c r="S140" s="1"/>
      <c r="T140" s="1"/>
      <c r="U140" s="1"/>
    </row>
    <row r="141" spans="2:21">
      <c r="B141" t="str">
        <f t="shared" si="66"/>
        <v/>
      </c>
      <c r="C141" s="49">
        <f>IF(D94="","-",+C140+1)</f>
        <v>2052</v>
      </c>
      <c r="D141" s="11">
        <f>IF(F140+SUM(E$100:E140)=D$93,F140,D$93-SUM(E$100:E140))</f>
        <v>0</v>
      </c>
      <c r="E141" s="377">
        <f>IF(+J97&lt;F140,J97,D141)</f>
        <v>0</v>
      </c>
      <c r="F141" s="54">
        <f t="shared" si="73"/>
        <v>0</v>
      </c>
      <c r="G141" s="54">
        <f t="shared" si="67"/>
        <v>0</v>
      </c>
      <c r="H141" s="459">
        <f t="shared" si="64"/>
        <v>0</v>
      </c>
      <c r="I141" s="407">
        <f t="shared" si="68"/>
        <v>0</v>
      </c>
      <c r="J141" s="53">
        <f t="shared" si="69"/>
        <v>0</v>
      </c>
      <c r="K141" s="53"/>
      <c r="L141" s="112"/>
      <c r="M141" s="53">
        <f t="shared" si="70"/>
        <v>0</v>
      </c>
      <c r="N141" s="112"/>
      <c r="O141" s="53">
        <f t="shared" si="71"/>
        <v>0</v>
      </c>
      <c r="P141" s="53">
        <f t="shared" si="72"/>
        <v>0</v>
      </c>
      <c r="Q141" s="1"/>
      <c r="R141" s="1"/>
      <c r="S141" s="1"/>
      <c r="T141" s="1"/>
      <c r="U141" s="1"/>
    </row>
    <row r="142" spans="2:21">
      <c r="B142" t="str">
        <f t="shared" si="66"/>
        <v/>
      </c>
      <c r="C142" s="49">
        <f>IF(D94="","-",+C141+1)</f>
        <v>2053</v>
      </c>
      <c r="D142" s="11">
        <f>IF(F141+SUM(E$100:E141)=D$93,F141,D$93-SUM(E$100:E141))</f>
        <v>0</v>
      </c>
      <c r="E142" s="377">
        <f>IF(+J97&lt;F141,J97,D142)</f>
        <v>0</v>
      </c>
      <c r="F142" s="54">
        <f t="shared" si="73"/>
        <v>0</v>
      </c>
      <c r="G142" s="54">
        <f t="shared" si="67"/>
        <v>0</v>
      </c>
      <c r="H142" s="459">
        <f t="shared" si="64"/>
        <v>0</v>
      </c>
      <c r="I142" s="407">
        <f t="shared" si="68"/>
        <v>0</v>
      </c>
      <c r="J142" s="53">
        <f t="shared" si="69"/>
        <v>0</v>
      </c>
      <c r="K142" s="53"/>
      <c r="L142" s="112"/>
      <c r="M142" s="53">
        <f t="shared" si="70"/>
        <v>0</v>
      </c>
      <c r="N142" s="112"/>
      <c r="O142" s="53">
        <f t="shared" si="71"/>
        <v>0</v>
      </c>
      <c r="P142" s="53">
        <f t="shared" si="72"/>
        <v>0</v>
      </c>
      <c r="Q142" s="1"/>
      <c r="R142" s="1"/>
      <c r="S142" s="1"/>
      <c r="T142" s="1"/>
      <c r="U142" s="1"/>
    </row>
    <row r="143" spans="2:21">
      <c r="B143" t="str">
        <f t="shared" si="66"/>
        <v/>
      </c>
      <c r="C143" s="49">
        <f>IF(D94="","-",+C142+1)</f>
        <v>2054</v>
      </c>
      <c r="D143" s="11">
        <f>IF(F142+SUM(E$100:E142)=D$93,F142,D$93-SUM(E$100:E142))</f>
        <v>0</v>
      </c>
      <c r="E143" s="377">
        <f>IF(+J97&lt;F142,J97,D143)</f>
        <v>0</v>
      </c>
      <c r="F143" s="54">
        <f t="shared" si="73"/>
        <v>0</v>
      </c>
      <c r="G143" s="54">
        <f t="shared" si="67"/>
        <v>0</v>
      </c>
      <c r="H143" s="459">
        <f t="shared" si="64"/>
        <v>0</v>
      </c>
      <c r="I143" s="407">
        <f t="shared" si="68"/>
        <v>0</v>
      </c>
      <c r="J143" s="53">
        <f t="shared" si="69"/>
        <v>0</v>
      </c>
      <c r="K143" s="53"/>
      <c r="L143" s="112"/>
      <c r="M143" s="53">
        <f t="shared" si="70"/>
        <v>0</v>
      </c>
      <c r="N143" s="112"/>
      <c r="O143" s="53">
        <f t="shared" si="71"/>
        <v>0</v>
      </c>
      <c r="P143" s="53">
        <f t="shared" si="72"/>
        <v>0</v>
      </c>
      <c r="Q143" s="1"/>
      <c r="R143" s="1"/>
      <c r="S143" s="1"/>
      <c r="T143" s="1"/>
      <c r="U143" s="1"/>
    </row>
    <row r="144" spans="2:21">
      <c r="B144" t="str">
        <f t="shared" si="66"/>
        <v/>
      </c>
      <c r="C144" s="49">
        <f>IF(D94="","-",+C143+1)</f>
        <v>2055</v>
      </c>
      <c r="D144" s="11">
        <f>IF(F143+SUM(E$100:E143)=D$93,F143,D$93-SUM(E$100:E143))</f>
        <v>0</v>
      </c>
      <c r="E144" s="377">
        <f>IF(+J97&lt;F143,J97,D144)</f>
        <v>0</v>
      </c>
      <c r="F144" s="54">
        <f t="shared" si="73"/>
        <v>0</v>
      </c>
      <c r="G144" s="54">
        <f t="shared" si="67"/>
        <v>0</v>
      </c>
      <c r="H144" s="459">
        <f t="shared" si="64"/>
        <v>0</v>
      </c>
      <c r="I144" s="407">
        <f t="shared" si="68"/>
        <v>0</v>
      </c>
      <c r="J144" s="53">
        <f t="shared" si="69"/>
        <v>0</v>
      </c>
      <c r="K144" s="53"/>
      <c r="L144" s="112"/>
      <c r="M144" s="53">
        <f t="shared" si="70"/>
        <v>0</v>
      </c>
      <c r="N144" s="112"/>
      <c r="O144" s="53">
        <f t="shared" si="71"/>
        <v>0</v>
      </c>
      <c r="P144" s="53">
        <f t="shared" si="72"/>
        <v>0</v>
      </c>
      <c r="Q144" s="1"/>
      <c r="R144" s="1"/>
      <c r="S144" s="1"/>
      <c r="T144" s="1"/>
      <c r="U144" s="1"/>
    </row>
    <row r="145" spans="2:21">
      <c r="B145" t="str">
        <f t="shared" si="66"/>
        <v/>
      </c>
      <c r="C145" s="49">
        <f>IF(D94="","-",+C144+1)</f>
        <v>2056</v>
      </c>
      <c r="D145" s="11">
        <f>IF(F144+SUM(E$100:E144)=D$93,F144,D$93-SUM(E$100:E144))</f>
        <v>0</v>
      </c>
      <c r="E145" s="377">
        <f>IF(+J97&lt;F144,J97,D145)</f>
        <v>0</v>
      </c>
      <c r="F145" s="54">
        <f t="shared" si="73"/>
        <v>0</v>
      </c>
      <c r="G145" s="54">
        <f t="shared" si="67"/>
        <v>0</v>
      </c>
      <c r="H145" s="459">
        <f t="shared" si="64"/>
        <v>0</v>
      </c>
      <c r="I145" s="407">
        <f t="shared" si="68"/>
        <v>0</v>
      </c>
      <c r="J145" s="53">
        <f t="shared" si="69"/>
        <v>0</v>
      </c>
      <c r="K145" s="53"/>
      <c r="L145" s="112"/>
      <c r="M145" s="53">
        <f t="shared" si="70"/>
        <v>0</v>
      </c>
      <c r="N145" s="112"/>
      <c r="O145" s="53">
        <f t="shared" si="71"/>
        <v>0</v>
      </c>
      <c r="P145" s="53">
        <f t="shared" si="72"/>
        <v>0</v>
      </c>
      <c r="Q145" s="1"/>
      <c r="R145" s="1"/>
      <c r="S145" s="1"/>
      <c r="T145" s="1"/>
      <c r="U145" s="1"/>
    </row>
    <row r="146" spans="2:21">
      <c r="B146" t="str">
        <f t="shared" si="66"/>
        <v/>
      </c>
      <c r="C146" s="49">
        <f>IF(D94="","-",+C145+1)</f>
        <v>2057</v>
      </c>
      <c r="D146" s="11">
        <f>IF(F145+SUM(E$100:E145)=D$93,F145,D$93-SUM(E$100:E145))</f>
        <v>0</v>
      </c>
      <c r="E146" s="377">
        <f>IF(+J97&lt;F145,J97,D146)</f>
        <v>0</v>
      </c>
      <c r="F146" s="54">
        <f t="shared" si="73"/>
        <v>0</v>
      </c>
      <c r="G146" s="54">
        <f t="shared" si="67"/>
        <v>0</v>
      </c>
      <c r="H146" s="459">
        <f t="shared" si="64"/>
        <v>0</v>
      </c>
      <c r="I146" s="407">
        <f t="shared" si="68"/>
        <v>0</v>
      </c>
      <c r="J146" s="53">
        <f t="shared" si="69"/>
        <v>0</v>
      </c>
      <c r="K146" s="53"/>
      <c r="L146" s="112"/>
      <c r="M146" s="53">
        <f t="shared" si="70"/>
        <v>0</v>
      </c>
      <c r="N146" s="112"/>
      <c r="O146" s="53">
        <f t="shared" si="71"/>
        <v>0</v>
      </c>
      <c r="P146" s="53">
        <f t="shared" si="72"/>
        <v>0</v>
      </c>
      <c r="Q146" s="1"/>
      <c r="R146" s="1"/>
      <c r="S146" s="1"/>
      <c r="T146" s="1"/>
      <c r="U146" s="1"/>
    </row>
    <row r="147" spans="2:21">
      <c r="B147" t="str">
        <f t="shared" si="66"/>
        <v/>
      </c>
      <c r="C147" s="49">
        <f>IF(D94="","-",+C146+1)</f>
        <v>2058</v>
      </c>
      <c r="D147" s="11">
        <f>IF(F146+SUM(E$100:E146)=D$93,F146,D$93-SUM(E$100:E146))</f>
        <v>0</v>
      </c>
      <c r="E147" s="377">
        <f>IF(+J97&lt;F146,J97,D147)</f>
        <v>0</v>
      </c>
      <c r="F147" s="54">
        <f t="shared" si="73"/>
        <v>0</v>
      </c>
      <c r="G147" s="54">
        <f t="shared" si="67"/>
        <v>0</v>
      </c>
      <c r="H147" s="459">
        <f t="shared" si="64"/>
        <v>0</v>
      </c>
      <c r="I147" s="407">
        <f t="shared" si="68"/>
        <v>0</v>
      </c>
      <c r="J147" s="53">
        <f t="shared" si="69"/>
        <v>0</v>
      </c>
      <c r="K147" s="53"/>
      <c r="L147" s="112"/>
      <c r="M147" s="53">
        <f t="shared" si="70"/>
        <v>0</v>
      </c>
      <c r="N147" s="112"/>
      <c r="O147" s="53">
        <f t="shared" si="71"/>
        <v>0</v>
      </c>
      <c r="P147" s="53">
        <f t="shared" si="72"/>
        <v>0</v>
      </c>
      <c r="Q147" s="1"/>
      <c r="R147" s="1"/>
      <c r="S147" s="1"/>
      <c r="T147" s="1"/>
      <c r="U147" s="1"/>
    </row>
    <row r="148" spans="2:21">
      <c r="B148" t="str">
        <f t="shared" si="66"/>
        <v/>
      </c>
      <c r="C148" s="49">
        <f>IF(D94="","-",+C147+1)</f>
        <v>2059</v>
      </c>
      <c r="D148" s="11">
        <f>IF(F147+SUM(E$100:E147)=D$93,F147,D$93-SUM(E$100:E147))</f>
        <v>0</v>
      </c>
      <c r="E148" s="377">
        <f>IF(+J97&lt;F147,J97,D148)</f>
        <v>0</v>
      </c>
      <c r="F148" s="54">
        <f t="shared" si="73"/>
        <v>0</v>
      </c>
      <c r="G148" s="54">
        <f t="shared" si="67"/>
        <v>0</v>
      </c>
      <c r="H148" s="459">
        <f t="shared" si="64"/>
        <v>0</v>
      </c>
      <c r="I148" s="407">
        <f t="shared" si="68"/>
        <v>0</v>
      </c>
      <c r="J148" s="53">
        <f t="shared" si="69"/>
        <v>0</v>
      </c>
      <c r="K148" s="53"/>
      <c r="L148" s="112"/>
      <c r="M148" s="53">
        <f t="shared" si="70"/>
        <v>0</v>
      </c>
      <c r="N148" s="112"/>
      <c r="O148" s="53">
        <f t="shared" si="71"/>
        <v>0</v>
      </c>
      <c r="P148" s="53">
        <f t="shared" si="72"/>
        <v>0</v>
      </c>
      <c r="Q148" s="1"/>
      <c r="R148" s="1"/>
      <c r="S148" s="1"/>
      <c r="T148" s="1"/>
      <c r="U148" s="1"/>
    </row>
    <row r="149" spans="2:21">
      <c r="B149" t="str">
        <f t="shared" si="66"/>
        <v/>
      </c>
      <c r="C149" s="49">
        <f>IF(D94="","-",+C148+1)</f>
        <v>2060</v>
      </c>
      <c r="D149" s="11">
        <f>IF(F148+SUM(E$100:E148)=D$93,F148,D$93-SUM(E$100:E148))</f>
        <v>0</v>
      </c>
      <c r="E149" s="377">
        <f>IF(+J97&lt;F148,J97,D149)</f>
        <v>0</v>
      </c>
      <c r="F149" s="54">
        <f t="shared" si="73"/>
        <v>0</v>
      </c>
      <c r="G149" s="54">
        <f t="shared" si="67"/>
        <v>0</v>
      </c>
      <c r="H149" s="459">
        <f t="shared" si="64"/>
        <v>0</v>
      </c>
      <c r="I149" s="407">
        <f t="shared" si="68"/>
        <v>0</v>
      </c>
      <c r="J149" s="53">
        <f t="shared" si="69"/>
        <v>0</v>
      </c>
      <c r="K149" s="53"/>
      <c r="L149" s="112"/>
      <c r="M149" s="53">
        <f t="shared" si="70"/>
        <v>0</v>
      </c>
      <c r="N149" s="112"/>
      <c r="O149" s="53">
        <f t="shared" si="71"/>
        <v>0</v>
      </c>
      <c r="P149" s="53">
        <f t="shared" si="72"/>
        <v>0</v>
      </c>
      <c r="Q149" s="1"/>
      <c r="R149" s="1"/>
      <c r="S149" s="1"/>
      <c r="T149" s="1"/>
      <c r="U149" s="1"/>
    </row>
    <row r="150" spans="2:21">
      <c r="B150" t="str">
        <f t="shared" si="66"/>
        <v/>
      </c>
      <c r="C150" s="49">
        <f>IF(D94="","-",+C149+1)</f>
        <v>2061</v>
      </c>
      <c r="D150" s="11">
        <f>IF(F149+SUM(E$100:E149)=D$93,F149,D$93-SUM(E$100:E149))</f>
        <v>0</v>
      </c>
      <c r="E150" s="377">
        <f>IF(+J97&lt;F149,J97,D150)</f>
        <v>0</v>
      </c>
      <c r="F150" s="54">
        <f t="shared" si="73"/>
        <v>0</v>
      </c>
      <c r="G150" s="54">
        <f t="shared" si="67"/>
        <v>0</v>
      </c>
      <c r="H150" s="459">
        <f t="shared" si="64"/>
        <v>0</v>
      </c>
      <c r="I150" s="407">
        <f t="shared" si="68"/>
        <v>0</v>
      </c>
      <c r="J150" s="53">
        <f t="shared" si="69"/>
        <v>0</v>
      </c>
      <c r="K150" s="53"/>
      <c r="L150" s="112"/>
      <c r="M150" s="53">
        <f t="shared" si="70"/>
        <v>0</v>
      </c>
      <c r="N150" s="112"/>
      <c r="O150" s="53">
        <f t="shared" si="71"/>
        <v>0</v>
      </c>
      <c r="P150" s="53">
        <f t="shared" si="72"/>
        <v>0</v>
      </c>
      <c r="Q150" s="1"/>
      <c r="R150" s="1"/>
      <c r="S150" s="1"/>
      <c r="T150" s="1"/>
      <c r="U150" s="1"/>
    </row>
    <row r="151" spans="2:21">
      <c r="B151" t="str">
        <f t="shared" si="66"/>
        <v/>
      </c>
      <c r="C151" s="49">
        <f>IF(D94="","-",+C150+1)</f>
        <v>2062</v>
      </c>
      <c r="D151" s="11">
        <f>IF(F150+SUM(E$100:E150)=D$93,F150,D$93-SUM(E$100:E150))</f>
        <v>0</v>
      </c>
      <c r="E151" s="377">
        <f>IF(+J97&lt;F150,J97,D151)</f>
        <v>0</v>
      </c>
      <c r="F151" s="54">
        <f t="shared" si="73"/>
        <v>0</v>
      </c>
      <c r="G151" s="54">
        <f t="shared" si="67"/>
        <v>0</v>
      </c>
      <c r="H151" s="459">
        <f t="shared" si="64"/>
        <v>0</v>
      </c>
      <c r="I151" s="407">
        <f t="shared" si="68"/>
        <v>0</v>
      </c>
      <c r="J151" s="53">
        <f t="shared" si="69"/>
        <v>0</v>
      </c>
      <c r="K151" s="53"/>
      <c r="L151" s="112"/>
      <c r="M151" s="53">
        <f t="shared" si="70"/>
        <v>0</v>
      </c>
      <c r="N151" s="112"/>
      <c r="O151" s="53">
        <f t="shared" si="71"/>
        <v>0</v>
      </c>
      <c r="P151" s="53">
        <f t="shared" si="72"/>
        <v>0</v>
      </c>
      <c r="Q151" s="1"/>
      <c r="R151" s="1"/>
      <c r="S151" s="1"/>
      <c r="T151" s="1"/>
      <c r="U151" s="1"/>
    </row>
    <row r="152" spans="2:21">
      <c r="B152" t="str">
        <f t="shared" si="66"/>
        <v/>
      </c>
      <c r="C152" s="49">
        <f>IF(D94="","-",+C151+1)</f>
        <v>2063</v>
      </c>
      <c r="D152" s="11">
        <f>IF(F151+SUM(E$100:E151)=D$93,F151,D$93-SUM(E$100:E151))</f>
        <v>0</v>
      </c>
      <c r="E152" s="377">
        <f>IF(+J97&lt;F151,J97,D152)</f>
        <v>0</v>
      </c>
      <c r="F152" s="54">
        <f t="shared" si="73"/>
        <v>0</v>
      </c>
      <c r="G152" s="54">
        <f t="shared" si="67"/>
        <v>0</v>
      </c>
      <c r="H152" s="459">
        <f t="shared" si="64"/>
        <v>0</v>
      </c>
      <c r="I152" s="407">
        <f t="shared" si="68"/>
        <v>0</v>
      </c>
      <c r="J152" s="53">
        <f t="shared" si="69"/>
        <v>0</v>
      </c>
      <c r="K152" s="53"/>
      <c r="L152" s="112"/>
      <c r="M152" s="53">
        <f t="shared" si="70"/>
        <v>0</v>
      </c>
      <c r="N152" s="112"/>
      <c r="O152" s="53">
        <f t="shared" si="71"/>
        <v>0</v>
      </c>
      <c r="P152" s="53">
        <f t="shared" si="72"/>
        <v>0</v>
      </c>
      <c r="Q152" s="1"/>
      <c r="R152" s="1"/>
      <c r="S152" s="1"/>
      <c r="T152" s="1"/>
      <c r="U152" s="1"/>
    </row>
    <row r="153" spans="2:21">
      <c r="B153" t="str">
        <f t="shared" si="66"/>
        <v/>
      </c>
      <c r="C153" s="49">
        <f>IF(D94="","-",+C152+1)</f>
        <v>2064</v>
      </c>
      <c r="D153" s="11">
        <f>IF(F152+SUM(E$100:E152)=D$93,F152,D$93-SUM(E$100:E152))</f>
        <v>0</v>
      </c>
      <c r="E153" s="377">
        <f>IF(+J97&lt;F152,J97,D153)</f>
        <v>0</v>
      </c>
      <c r="F153" s="54">
        <f t="shared" si="73"/>
        <v>0</v>
      </c>
      <c r="G153" s="54">
        <f t="shared" si="67"/>
        <v>0</v>
      </c>
      <c r="H153" s="459">
        <f t="shared" si="64"/>
        <v>0</v>
      </c>
      <c r="I153" s="407">
        <f t="shared" si="68"/>
        <v>0</v>
      </c>
      <c r="J153" s="53">
        <f t="shared" si="69"/>
        <v>0</v>
      </c>
      <c r="K153" s="53"/>
      <c r="L153" s="112"/>
      <c r="M153" s="53">
        <f t="shared" si="70"/>
        <v>0</v>
      </c>
      <c r="N153" s="112"/>
      <c r="O153" s="53">
        <f t="shared" si="71"/>
        <v>0</v>
      </c>
      <c r="P153" s="53">
        <f t="shared" si="72"/>
        <v>0</v>
      </c>
      <c r="Q153" s="1"/>
      <c r="R153" s="1"/>
      <c r="S153" s="1"/>
      <c r="T153" s="1"/>
      <c r="U153" s="1"/>
    </row>
    <row r="154" spans="2:21">
      <c r="B154" t="str">
        <f t="shared" si="66"/>
        <v/>
      </c>
      <c r="C154" s="49">
        <f>IF(D94="","-",+C153+1)</f>
        <v>2065</v>
      </c>
      <c r="D154" s="11">
        <f>IF(F153+SUM(E$100:E153)=D$93,F153,D$93-SUM(E$100:E153))</f>
        <v>0</v>
      </c>
      <c r="E154" s="377">
        <f>IF(+J97&lt;F153,J97,D154)</f>
        <v>0</v>
      </c>
      <c r="F154" s="54">
        <f t="shared" si="73"/>
        <v>0</v>
      </c>
      <c r="G154" s="54">
        <f t="shared" si="67"/>
        <v>0</v>
      </c>
      <c r="H154" s="459">
        <f t="shared" si="64"/>
        <v>0</v>
      </c>
      <c r="I154" s="407">
        <f t="shared" si="68"/>
        <v>0</v>
      </c>
      <c r="J154" s="53">
        <f t="shared" si="69"/>
        <v>0</v>
      </c>
      <c r="K154" s="53"/>
      <c r="L154" s="112"/>
      <c r="M154" s="53">
        <f t="shared" si="70"/>
        <v>0</v>
      </c>
      <c r="N154" s="112"/>
      <c r="O154" s="53">
        <f t="shared" si="71"/>
        <v>0</v>
      </c>
      <c r="P154" s="53">
        <f t="shared" si="72"/>
        <v>0</v>
      </c>
      <c r="Q154" s="1"/>
      <c r="R154" s="1"/>
      <c r="S154" s="1"/>
      <c r="T154" s="1"/>
      <c r="U154" s="1"/>
    </row>
    <row r="155" spans="2:21" ht="13.5" thickBot="1">
      <c r="B155" t="str">
        <f t="shared" si="66"/>
        <v/>
      </c>
      <c r="C155" s="58">
        <f>IF(D94="","-",+C154+1)</f>
        <v>2066</v>
      </c>
      <c r="D155" s="59">
        <f>IF(F154+SUM(E$100:E154)=D$93,F154,D$93-SUM(E$100:E154))</f>
        <v>0</v>
      </c>
      <c r="E155" s="389">
        <f>IF(+J97&lt;F154,J97,D155)</f>
        <v>0</v>
      </c>
      <c r="F155" s="59">
        <f t="shared" si="73"/>
        <v>0</v>
      </c>
      <c r="G155" s="59">
        <f t="shared" si="67"/>
        <v>0</v>
      </c>
      <c r="H155" s="459">
        <f t="shared" si="64"/>
        <v>0</v>
      </c>
      <c r="I155" s="408">
        <f t="shared" si="68"/>
        <v>0</v>
      </c>
      <c r="J155" s="63">
        <f t="shared" si="69"/>
        <v>0</v>
      </c>
      <c r="K155" s="53"/>
      <c r="L155" s="113"/>
      <c r="M155" s="63">
        <f t="shared" si="70"/>
        <v>0</v>
      </c>
      <c r="N155" s="113"/>
      <c r="O155" s="63">
        <f t="shared" si="71"/>
        <v>0</v>
      </c>
      <c r="P155" s="63">
        <f t="shared" si="72"/>
        <v>0</v>
      </c>
      <c r="Q155" s="1"/>
      <c r="R155" s="1"/>
      <c r="S155" s="1"/>
      <c r="T155" s="1"/>
      <c r="U155" s="1"/>
    </row>
    <row r="156" spans="2:21">
      <c r="C156" s="11" t="s">
        <v>75</v>
      </c>
      <c r="D156" s="242"/>
      <c r="E156" s="242">
        <f>SUM(E100:E155)</f>
        <v>614753.00000000012</v>
      </c>
      <c r="F156" s="242"/>
      <c r="G156" s="242"/>
      <c r="H156" s="242">
        <f>SUM(H100:H155)</f>
        <v>1762027.0591296493</v>
      </c>
      <c r="I156" s="242">
        <f>SUM(I100:I155)</f>
        <v>1762027.0591296493</v>
      </c>
      <c r="J156" s="242">
        <f>SUM(J100:J155)</f>
        <v>0</v>
      </c>
      <c r="K156" s="242"/>
      <c r="L156" s="242"/>
      <c r="M156" s="242"/>
      <c r="N156" s="242"/>
      <c r="O156" s="242"/>
      <c r="P156" s="1"/>
      <c r="Q156" s="1"/>
      <c r="R156" s="1"/>
      <c r="S156" s="1"/>
      <c r="T156" s="1"/>
      <c r="U156" s="1"/>
    </row>
    <row r="157" spans="2:21">
      <c r="D157" s="2"/>
      <c r="E157" s="1"/>
      <c r="F157" s="1"/>
      <c r="G157" s="1"/>
      <c r="H157" s="1"/>
      <c r="I157" s="260"/>
      <c r="J157" s="260"/>
      <c r="K157" s="242"/>
      <c r="L157" s="260"/>
      <c r="M157" s="260"/>
      <c r="N157" s="260"/>
      <c r="O157" s="260"/>
      <c r="P157" s="1"/>
      <c r="Q157" s="1"/>
      <c r="R157" s="1"/>
      <c r="S157" s="1"/>
      <c r="T157" s="1"/>
      <c r="U157" s="1"/>
    </row>
    <row r="158" spans="2:21">
      <c r="C158" s="83" t="s">
        <v>90</v>
      </c>
      <c r="D158" s="2"/>
      <c r="E158" s="1"/>
      <c r="F158" s="1"/>
      <c r="G158" s="1"/>
      <c r="H158" s="1"/>
      <c r="I158" s="260"/>
      <c r="J158" s="260"/>
      <c r="K158" s="242"/>
      <c r="L158" s="260"/>
      <c r="M158" s="260"/>
      <c r="N158" s="260"/>
      <c r="O158" s="260"/>
      <c r="P158" s="1"/>
      <c r="Q158" s="1"/>
      <c r="R158" s="1"/>
      <c r="S158" s="1"/>
      <c r="T158" s="1"/>
      <c r="U158" s="1"/>
    </row>
    <row r="159" spans="2:21">
      <c r="D159" s="2"/>
      <c r="E159" s="1"/>
      <c r="F159" s="1"/>
      <c r="G159" s="1"/>
      <c r="H159" s="1"/>
      <c r="I159" s="260"/>
      <c r="J159" s="260"/>
      <c r="K159" s="242"/>
      <c r="L159" s="260"/>
      <c r="M159" s="260"/>
      <c r="N159" s="260"/>
      <c r="O159" s="260"/>
      <c r="P159" s="1"/>
      <c r="Q159" s="1"/>
      <c r="R159" s="1"/>
      <c r="S159" s="1"/>
      <c r="T159" s="1"/>
      <c r="U159" s="1"/>
    </row>
    <row r="160" spans="2:21">
      <c r="C160" s="29" t="s">
        <v>96</v>
      </c>
      <c r="D160" s="11"/>
      <c r="E160" s="11"/>
      <c r="F160" s="11"/>
      <c r="G160" s="11"/>
      <c r="H160" s="242"/>
      <c r="I160" s="242"/>
      <c r="J160" s="64"/>
      <c r="K160" s="64"/>
      <c r="L160" s="64"/>
      <c r="M160" s="64"/>
      <c r="N160" s="64"/>
      <c r="O160" s="64"/>
      <c r="P160" s="1"/>
      <c r="Q160" s="1"/>
      <c r="R160" s="1"/>
      <c r="S160" s="1"/>
      <c r="T160" s="1"/>
      <c r="U160" s="1"/>
    </row>
    <row r="161" spans="3:21">
      <c r="C161" s="84" t="s">
        <v>76</v>
      </c>
      <c r="D161" s="11"/>
      <c r="E161" s="11"/>
      <c r="F161" s="11"/>
      <c r="G161" s="11"/>
      <c r="H161" s="242"/>
      <c r="I161" s="242"/>
      <c r="J161" s="64"/>
      <c r="K161" s="64"/>
      <c r="L161" s="64"/>
      <c r="M161" s="64"/>
      <c r="N161" s="64"/>
      <c r="O161" s="64"/>
      <c r="P161" s="1"/>
      <c r="Q161" s="1"/>
      <c r="R161" s="1"/>
      <c r="S161" s="1"/>
      <c r="T161" s="1"/>
      <c r="U161" s="1"/>
    </row>
    <row r="162" spans="3:21">
      <c r="C162" s="84" t="s">
        <v>77</v>
      </c>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phoneticPr fontId="0" type="noConversion"/>
  <conditionalFormatting sqref="C17:C73">
    <cfRule type="cellIs" dxfId="49" priority="1" stopIfTrue="1" operator="equal">
      <formula>$I$10</formula>
    </cfRule>
  </conditionalFormatting>
  <conditionalFormatting sqref="C100:C155">
    <cfRule type="cellIs" dxfId="48"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2">
    <tabColor rgb="FF92D050"/>
  </sheetPr>
  <dimension ref="A1:U163"/>
  <sheetViews>
    <sheetView topLeftCell="B93" zoomScaleNormal="100" zoomScaleSheetLayoutView="90" workbookViewId="0">
      <selection activeCell="D93" sqref="D93"/>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4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t="str">
        <f>"For Calendar Year "&amp;V1-1&amp;" and Projected Year "&amp;V1</f>
        <v xml:space="preserve">For Calendar Year -1 and Projected Year </v>
      </c>
      <c r="I3" s="260"/>
      <c r="J3" s="242"/>
      <c r="K3" s="260"/>
      <c r="L3" s="260"/>
      <c r="M3" s="260"/>
      <c r="N3" s="260"/>
      <c r="O3" s="1"/>
      <c r="P3" s="91">
        <v>1</v>
      </c>
      <c r="R3" s="1"/>
      <c r="S3" s="1"/>
      <c r="T3" s="1"/>
      <c r="U3" s="1"/>
    </row>
    <row r="4" spans="1:21" ht="16.5" thickBot="1">
      <c r="C4" s="417" t="s">
        <v>237</v>
      </c>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1195319.2388970163</v>
      </c>
      <c r="P5" s="1"/>
      <c r="R5" s="1"/>
      <c r="S5" s="1"/>
      <c r="T5" s="1"/>
      <c r="U5" s="1"/>
    </row>
    <row r="6" spans="1:21" ht="15.75">
      <c r="C6" s="418" t="s">
        <v>238</v>
      </c>
      <c r="D6" s="2"/>
      <c r="E6" s="1"/>
      <c r="F6" s="1"/>
      <c r="G6" s="1"/>
      <c r="H6" s="351"/>
      <c r="I6" s="351"/>
      <c r="J6" s="352"/>
      <c r="K6" s="22" t="s">
        <v>243</v>
      </c>
      <c r="L6" s="353"/>
      <c r="M6" s="1"/>
      <c r="N6" s="354">
        <f>VLOOKUP(I10,C17:I73,6)</f>
        <v>1195319.2388970163</v>
      </c>
      <c r="O6" s="1"/>
      <c r="P6" s="1"/>
      <c r="R6" s="1"/>
      <c r="S6" s="1"/>
      <c r="T6" s="1"/>
      <c r="U6" s="1"/>
    </row>
    <row r="7" spans="1:21" ht="13.5" thickBot="1">
      <c r="C7" s="25" t="s">
        <v>46</v>
      </c>
      <c r="D7" s="96" t="s">
        <v>201</v>
      </c>
      <c r="E7" s="1"/>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200</v>
      </c>
      <c r="E9" s="31" t="s">
        <v>310</v>
      </c>
      <c r="F9" s="526">
        <v>446</v>
      </c>
      <c r="G9" s="31"/>
      <c r="H9" s="31"/>
      <c r="I9" s="32"/>
      <c r="J9" s="33"/>
      <c r="P9" s="1"/>
      <c r="R9" s="1"/>
      <c r="S9" s="1"/>
      <c r="T9" s="1"/>
      <c r="U9" s="1"/>
    </row>
    <row r="10" spans="1:21">
      <c r="C10" s="34" t="s">
        <v>49</v>
      </c>
      <c r="D10" s="358">
        <f>D93</f>
        <v>11038232</v>
      </c>
      <c r="E10" s="1" t="s">
        <v>50</v>
      </c>
      <c r="G10" s="2"/>
      <c r="H10" s="2"/>
      <c r="I10" s="36">
        <f>+'OKT.WS.F.BPU.ATRR.Projected'!R100</f>
        <v>2025</v>
      </c>
      <c r="J10" s="33"/>
      <c r="K10" s="242" t="s">
        <v>51</v>
      </c>
      <c r="O10" s="1"/>
      <c r="P10" s="1"/>
      <c r="R10" s="1"/>
      <c r="S10" s="1"/>
      <c r="T10" s="1"/>
      <c r="U10" s="1"/>
    </row>
    <row r="11" spans="1:21">
      <c r="C11" s="34" t="s">
        <v>52</v>
      </c>
      <c r="D11" s="37">
        <v>2011</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6</v>
      </c>
      <c r="E12" s="34" t="s">
        <v>55</v>
      </c>
      <c r="F12" s="2"/>
      <c r="I12" s="40">
        <f>'OKT.WS.F.BPU.ATRR.Projected'!$F$78</f>
        <v>0.11444992740144029</v>
      </c>
      <c r="J12" s="11"/>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367941.06666666665</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49" si="0">IF(D17=F16,"","IU")</f>
        <v>IU</v>
      </c>
      <c r="C17" s="49">
        <f>IF(D11= "","-",D11)</f>
        <v>2011</v>
      </c>
      <c r="D17" s="371">
        <v>12876000</v>
      </c>
      <c r="E17" s="372">
        <v>18562.052446566122</v>
      </c>
      <c r="F17" s="371">
        <v>12857437.947553433</v>
      </c>
      <c r="G17" s="373">
        <v>1690105.6704770608</v>
      </c>
      <c r="H17" s="374">
        <v>1690105.6704770608</v>
      </c>
      <c r="I17" s="51">
        <f t="shared" ref="I17:I49" si="1">H17-G17</f>
        <v>0</v>
      </c>
      <c r="J17" s="64"/>
      <c r="K17" s="419">
        <f t="shared" ref="K17:K22" si="2">G17</f>
        <v>1690105.6704770608</v>
      </c>
      <c r="L17" s="420">
        <f t="shared" ref="L17:L49" si="3">IF(K17&lt;&gt;0,+G17-K17,0)</f>
        <v>0</v>
      </c>
      <c r="M17" s="419">
        <f t="shared" ref="M17:M22" si="4">H17</f>
        <v>1690105.6704770608</v>
      </c>
      <c r="N17" s="421">
        <f t="shared" ref="N17:N49" si="5">IF(M17&lt;&gt;0,+H17-M17,0)</f>
        <v>0</v>
      </c>
      <c r="O17" s="420">
        <f t="shared" ref="O17:O49" si="6">+N17-L17</f>
        <v>0</v>
      </c>
      <c r="P17" s="1"/>
      <c r="R17" s="1"/>
      <c r="S17" s="1"/>
      <c r="T17" s="1"/>
      <c r="U17" s="1"/>
    </row>
    <row r="18" spans="2:21">
      <c r="B18" t="str">
        <f t="shared" si="0"/>
        <v/>
      </c>
      <c r="C18" s="49">
        <f>IF(D11="","-",+C17+1)</f>
        <v>2012</v>
      </c>
      <c r="D18" s="375">
        <v>12857437.947553433</v>
      </c>
      <c r="E18" s="373">
        <v>203958.10236185769</v>
      </c>
      <c r="F18" s="375">
        <v>12653479.845191576</v>
      </c>
      <c r="G18" s="373">
        <v>1426879.3827639234</v>
      </c>
      <c r="H18" s="374">
        <v>1426879.3827639234</v>
      </c>
      <c r="I18" s="51">
        <v>0</v>
      </c>
      <c r="J18" s="64"/>
      <c r="K18" s="419">
        <f t="shared" si="2"/>
        <v>1426879.3827639234</v>
      </c>
      <c r="L18" s="422">
        <f t="shared" si="3"/>
        <v>0</v>
      </c>
      <c r="M18" s="419">
        <f t="shared" si="4"/>
        <v>1426879.3827639234</v>
      </c>
      <c r="N18" s="421">
        <f t="shared" si="5"/>
        <v>0</v>
      </c>
      <c r="O18" s="422">
        <f t="shared" si="6"/>
        <v>0</v>
      </c>
      <c r="P18" s="1"/>
      <c r="R18" s="1"/>
      <c r="S18" s="1"/>
      <c r="T18" s="1"/>
      <c r="U18" s="1"/>
    </row>
    <row r="19" spans="2:21">
      <c r="B19" t="str">
        <f t="shared" si="0"/>
        <v>IU</v>
      </c>
      <c r="C19" s="49">
        <f>IF(D11="","-",+C18+1)</f>
        <v>2013</v>
      </c>
      <c r="D19" s="375">
        <v>11520279.845191576</v>
      </c>
      <c r="E19" s="373">
        <v>203141.16446368746</v>
      </c>
      <c r="F19" s="375">
        <v>11317138.680727888</v>
      </c>
      <c r="G19" s="373">
        <v>1439439.106345837</v>
      </c>
      <c r="H19" s="374">
        <v>1439439.106345837</v>
      </c>
      <c r="I19" s="51">
        <v>0</v>
      </c>
      <c r="J19" s="64"/>
      <c r="K19" s="419">
        <f t="shared" si="2"/>
        <v>1439439.106345837</v>
      </c>
      <c r="L19" s="422">
        <f t="shared" ref="L19:L24" si="7">IF(K19&lt;&gt;0,+G19-K19,0)</f>
        <v>0</v>
      </c>
      <c r="M19" s="419">
        <f t="shared" si="4"/>
        <v>1439439.106345837</v>
      </c>
      <c r="N19" s="421">
        <f>IF(M19&lt;&gt;0,+H19-M19,0)</f>
        <v>0</v>
      </c>
      <c r="O19" s="422">
        <f>+N19-L19</f>
        <v>0</v>
      </c>
      <c r="P19" s="1"/>
      <c r="R19" s="1"/>
      <c r="S19" s="1"/>
      <c r="T19" s="1"/>
      <c r="U19" s="1"/>
    </row>
    <row r="20" spans="2:21">
      <c r="B20" t="str">
        <f t="shared" si="0"/>
        <v/>
      </c>
      <c r="C20" s="49">
        <f>IF(D11="","-",+C19+1)</f>
        <v>2014</v>
      </c>
      <c r="D20" s="375">
        <v>11317138.680727888</v>
      </c>
      <c r="E20" s="373">
        <v>203141.16446368746</v>
      </c>
      <c r="F20" s="375">
        <v>11113997.5162642</v>
      </c>
      <c r="G20" s="373">
        <v>1425984.6077299202</v>
      </c>
      <c r="H20" s="374">
        <v>1425984.6077299202</v>
      </c>
      <c r="I20" s="51">
        <v>0</v>
      </c>
      <c r="J20" s="51"/>
      <c r="K20" s="419">
        <f t="shared" si="2"/>
        <v>1425984.6077299202</v>
      </c>
      <c r="L20" s="422">
        <f t="shared" si="7"/>
        <v>0</v>
      </c>
      <c r="M20" s="419">
        <f t="shared" si="4"/>
        <v>1425984.6077299202</v>
      </c>
      <c r="N20" s="421">
        <f>IF(M20&lt;&gt;0,+H20-M20,0)</f>
        <v>0</v>
      </c>
      <c r="O20" s="422">
        <f>+N20-L20</f>
        <v>0</v>
      </c>
      <c r="P20" s="1"/>
      <c r="R20" s="1"/>
      <c r="S20" s="1"/>
      <c r="T20" s="1"/>
      <c r="U20" s="1"/>
    </row>
    <row r="21" spans="2:21">
      <c r="B21" t="str">
        <f t="shared" si="0"/>
        <v/>
      </c>
      <c r="C21" s="49">
        <f>IF(D12="","-",+C20+1)</f>
        <v>2015</v>
      </c>
      <c r="D21" s="375">
        <v>11113997.5162642</v>
      </c>
      <c r="E21" s="373">
        <v>203141.16446368746</v>
      </c>
      <c r="F21" s="375">
        <v>10910856.351800513</v>
      </c>
      <c r="G21" s="373">
        <v>1327673.3550101635</v>
      </c>
      <c r="H21" s="374">
        <v>1327673.3550101635</v>
      </c>
      <c r="I21" s="51">
        <v>0</v>
      </c>
      <c r="J21" s="51"/>
      <c r="K21" s="419">
        <f t="shared" si="2"/>
        <v>1327673.3550101635</v>
      </c>
      <c r="L21" s="422">
        <f t="shared" si="7"/>
        <v>0</v>
      </c>
      <c r="M21" s="419">
        <f t="shared" si="4"/>
        <v>1327673.3550101635</v>
      </c>
      <c r="N21" s="421">
        <f>IF(M21&lt;&gt;0,+H21-M21,0)</f>
        <v>0</v>
      </c>
      <c r="O21" s="422">
        <f>+N21-L21</f>
        <v>0</v>
      </c>
      <c r="P21" s="1"/>
      <c r="R21" s="1"/>
      <c r="S21" s="1"/>
      <c r="T21" s="1"/>
      <c r="U21" s="1"/>
    </row>
    <row r="22" spans="2:21">
      <c r="B22" t="str">
        <f>IF(D22=F21,"","IU")</f>
        <v>IU</v>
      </c>
      <c r="C22" s="49">
        <f>IF(D11="","-",+C21+1)</f>
        <v>2016</v>
      </c>
      <c r="D22" s="375">
        <v>10206288.351800514</v>
      </c>
      <c r="E22" s="373">
        <v>229368.43576510914</v>
      </c>
      <c r="F22" s="375">
        <v>9976919.9160354044</v>
      </c>
      <c r="G22" s="373">
        <v>1305682.2485042256</v>
      </c>
      <c r="H22" s="374">
        <v>1305682.2485042256</v>
      </c>
      <c r="I22" s="51">
        <f t="shared" si="1"/>
        <v>0</v>
      </c>
      <c r="J22" s="51"/>
      <c r="K22" s="419">
        <f t="shared" si="2"/>
        <v>1305682.2485042256</v>
      </c>
      <c r="L22" s="422">
        <f t="shared" si="7"/>
        <v>0</v>
      </c>
      <c r="M22" s="419">
        <f t="shared" si="4"/>
        <v>1305682.2485042256</v>
      </c>
      <c r="N22" s="53">
        <f t="shared" si="5"/>
        <v>0</v>
      </c>
      <c r="O22" s="53">
        <f t="shared" si="6"/>
        <v>0</v>
      </c>
      <c r="P22" s="1"/>
      <c r="R22" s="1"/>
      <c r="S22" s="1"/>
      <c r="T22" s="1"/>
      <c r="U22" s="1"/>
    </row>
    <row r="23" spans="2:21">
      <c r="B23" t="str">
        <f t="shared" si="0"/>
        <v/>
      </c>
      <c r="C23" s="49">
        <f>IF(D11="","-",+C22+1)</f>
        <v>2017</v>
      </c>
      <c r="D23" s="375">
        <v>9976919.9160354044</v>
      </c>
      <c r="E23" s="373">
        <v>217033.49443183315</v>
      </c>
      <c r="F23" s="375">
        <v>9759886.4216035716</v>
      </c>
      <c r="G23" s="373">
        <v>1301965.4660054925</v>
      </c>
      <c r="H23" s="374">
        <v>1301965.4660054925</v>
      </c>
      <c r="I23" s="51">
        <f t="shared" si="1"/>
        <v>0</v>
      </c>
      <c r="J23" s="51"/>
      <c r="K23" s="419">
        <f t="shared" ref="K23:K28" si="8">G23</f>
        <v>1301965.4660054925</v>
      </c>
      <c r="L23" s="422">
        <f t="shared" si="7"/>
        <v>0</v>
      </c>
      <c r="M23" s="419">
        <f t="shared" ref="M23:M28" si="9">H23</f>
        <v>1301965.4660054925</v>
      </c>
      <c r="N23" s="53">
        <f>IF(M23&lt;&gt;0,+H23-M23,0)</f>
        <v>0</v>
      </c>
      <c r="O23" s="53">
        <f>+N23-L23</f>
        <v>0</v>
      </c>
      <c r="P23" s="1"/>
      <c r="R23" s="1"/>
      <c r="S23" s="1"/>
      <c r="T23" s="1"/>
      <c r="U23" s="1"/>
    </row>
    <row r="24" spans="2:21">
      <c r="B24" t="str">
        <f t="shared" si="0"/>
        <v/>
      </c>
      <c r="C24" s="49">
        <f>IF(D11="","-",+C23+1)</f>
        <v>2018</v>
      </c>
      <c r="D24" s="375">
        <v>9759886.4216035716</v>
      </c>
      <c r="E24" s="373">
        <v>270708.0251158927</v>
      </c>
      <c r="F24" s="375">
        <v>9489178.3964876793</v>
      </c>
      <c r="G24" s="373">
        <v>1248788.1344461204</v>
      </c>
      <c r="H24" s="374">
        <v>1248788.1344461204</v>
      </c>
      <c r="I24" s="51">
        <v>0</v>
      </c>
      <c r="J24" s="51"/>
      <c r="K24" s="419">
        <f t="shared" si="8"/>
        <v>1248788.1344461204</v>
      </c>
      <c r="L24" s="422">
        <f t="shared" si="7"/>
        <v>0</v>
      </c>
      <c r="M24" s="419">
        <f t="shared" si="9"/>
        <v>1248788.1344461204</v>
      </c>
      <c r="N24" s="53">
        <f>IF(M24&lt;&gt;0,+H24-M24,0)</f>
        <v>0</v>
      </c>
      <c r="O24" s="53">
        <f>+N24-L24</f>
        <v>0</v>
      </c>
      <c r="P24" s="1"/>
      <c r="R24" s="1"/>
      <c r="S24" s="1"/>
      <c r="T24" s="1"/>
      <c r="U24" s="1"/>
    </row>
    <row r="25" spans="2:21">
      <c r="B25" t="str">
        <f t="shared" si="0"/>
        <v/>
      </c>
      <c r="C25" s="49">
        <f>IF(D11="","-",+C24+1)</f>
        <v>2019</v>
      </c>
      <c r="D25" s="375">
        <v>9489178.3964876793</v>
      </c>
      <c r="E25" s="373">
        <v>327381.233179364</v>
      </c>
      <c r="F25" s="375">
        <v>9161797.163308315</v>
      </c>
      <c r="G25" s="373">
        <v>1296634.8001552834</v>
      </c>
      <c r="H25" s="374">
        <v>1296634.8001552834</v>
      </c>
      <c r="I25" s="51">
        <f t="shared" si="1"/>
        <v>0</v>
      </c>
      <c r="J25" s="51"/>
      <c r="K25" s="419">
        <f t="shared" si="8"/>
        <v>1296634.8001552834</v>
      </c>
      <c r="L25" s="422">
        <f t="shared" ref="L25" si="10">IF(K25&lt;&gt;0,+G25-K25,0)</f>
        <v>0</v>
      </c>
      <c r="M25" s="419">
        <f t="shared" si="9"/>
        <v>1296634.8001552834</v>
      </c>
      <c r="N25" s="53">
        <f>IF(M25&lt;&gt;0,+H25-M25,0)</f>
        <v>0</v>
      </c>
      <c r="O25" s="53">
        <f>+N25-L25</f>
        <v>0</v>
      </c>
      <c r="P25" s="1"/>
      <c r="R25" s="1"/>
      <c r="S25" s="1"/>
      <c r="T25" s="1"/>
      <c r="U25" s="1"/>
    </row>
    <row r="26" spans="2:21">
      <c r="B26" t="str">
        <f t="shared" si="0"/>
        <v>IU</v>
      </c>
      <c r="C26" s="49">
        <f>IF(D11="","-",+C25+1)</f>
        <v>2020</v>
      </c>
      <c r="D26" s="375">
        <v>9218470.371371787</v>
      </c>
      <c r="E26" s="373">
        <v>323219.08619976818</v>
      </c>
      <c r="F26" s="375">
        <v>8895251.2851720192</v>
      </c>
      <c r="G26" s="373">
        <v>1273577.8300042083</v>
      </c>
      <c r="H26" s="374">
        <v>1273577.8300042083</v>
      </c>
      <c r="I26" s="51">
        <f t="shared" si="1"/>
        <v>0</v>
      </c>
      <c r="J26" s="51"/>
      <c r="K26" s="419">
        <f t="shared" si="8"/>
        <v>1273577.8300042083</v>
      </c>
      <c r="L26" s="422">
        <f t="shared" ref="L26" si="11">IF(K26&lt;&gt;0,+G26-K26,0)</f>
        <v>0</v>
      </c>
      <c r="M26" s="419">
        <f t="shared" si="9"/>
        <v>1273577.8300042083</v>
      </c>
      <c r="N26" s="53">
        <f t="shared" si="5"/>
        <v>0</v>
      </c>
      <c r="O26" s="53">
        <f t="shared" si="6"/>
        <v>0</v>
      </c>
      <c r="P26" s="1"/>
      <c r="R26" s="1"/>
      <c r="S26" s="1"/>
      <c r="T26" s="1"/>
      <c r="U26" s="1"/>
    </row>
    <row r="27" spans="2:21">
      <c r="B27" t="str">
        <f t="shared" si="0"/>
        <v>IU</v>
      </c>
      <c r="C27" s="49">
        <f>IF(D11="","-",+C26+1)</f>
        <v>2021</v>
      </c>
      <c r="D27" s="375">
        <v>8838578.0771085471</v>
      </c>
      <c r="E27" s="373">
        <v>356072</v>
      </c>
      <c r="F27" s="375">
        <v>8482506.0771085471</v>
      </c>
      <c r="G27" s="373">
        <v>1293013.3264763721</v>
      </c>
      <c r="H27" s="374">
        <v>1293013.3264763721</v>
      </c>
      <c r="I27" s="51">
        <f t="shared" si="1"/>
        <v>0</v>
      </c>
      <c r="J27" s="51"/>
      <c r="K27" s="419">
        <f t="shared" si="8"/>
        <v>1293013.3264763721</v>
      </c>
      <c r="L27" s="422">
        <f t="shared" ref="L27" si="12">IF(K27&lt;&gt;0,+G27-K27,0)</f>
        <v>0</v>
      </c>
      <c r="M27" s="419">
        <f t="shared" si="9"/>
        <v>1293013.3264763721</v>
      </c>
      <c r="N27" s="53">
        <f t="shared" si="5"/>
        <v>0</v>
      </c>
      <c r="O27" s="53">
        <f t="shared" si="6"/>
        <v>0</v>
      </c>
      <c r="P27" s="1"/>
      <c r="R27" s="1"/>
      <c r="S27" s="1"/>
      <c r="T27" s="1"/>
      <c r="U27" s="1"/>
    </row>
    <row r="28" spans="2:21">
      <c r="B28" t="str">
        <f t="shared" si="0"/>
        <v/>
      </c>
      <c r="C28" s="49">
        <f>IF(D11="","-",+C27+1)</f>
        <v>2022</v>
      </c>
      <c r="D28" s="375">
        <v>8482506.0771085471</v>
      </c>
      <c r="E28" s="373">
        <v>334491.87878787878</v>
      </c>
      <c r="F28" s="375">
        <v>8148014.1983206682</v>
      </c>
      <c r="G28" s="373">
        <v>1288740.9368321924</v>
      </c>
      <c r="H28" s="374">
        <v>1288740.9368321924</v>
      </c>
      <c r="I28" s="51">
        <f t="shared" si="1"/>
        <v>0</v>
      </c>
      <c r="J28" s="51"/>
      <c r="K28" s="419">
        <f t="shared" si="8"/>
        <v>1288740.9368321924</v>
      </c>
      <c r="L28" s="422">
        <f t="shared" ref="L28" si="13">IF(K28&lt;&gt;0,+G28-K28,0)</f>
        <v>0</v>
      </c>
      <c r="M28" s="419">
        <f t="shared" si="9"/>
        <v>1288740.9368321924</v>
      </c>
      <c r="N28" s="53">
        <f t="shared" si="5"/>
        <v>0</v>
      </c>
      <c r="O28" s="53">
        <f t="shared" si="6"/>
        <v>0</v>
      </c>
      <c r="P28" s="1"/>
      <c r="R28" s="1"/>
      <c r="S28" s="1"/>
      <c r="T28" s="1"/>
      <c r="U28" s="1"/>
    </row>
    <row r="29" spans="2:21">
      <c r="B29" t="str">
        <f t="shared" si="0"/>
        <v/>
      </c>
      <c r="C29" s="49">
        <f>IF(D11="","-",+C28+1)</f>
        <v>2023</v>
      </c>
      <c r="D29" s="375">
        <v>8148014.1983206682</v>
      </c>
      <c r="E29" s="373">
        <v>356072</v>
      </c>
      <c r="F29" s="375">
        <v>7791942.1983206682</v>
      </c>
      <c r="G29" s="373">
        <v>1256941.3903317812</v>
      </c>
      <c r="H29" s="374">
        <v>1256941.3903317812</v>
      </c>
      <c r="I29" s="51">
        <f t="shared" si="1"/>
        <v>0</v>
      </c>
      <c r="J29" s="51"/>
      <c r="K29" s="419">
        <f t="shared" ref="K29" si="14">G29</f>
        <v>1256941.3903317812</v>
      </c>
      <c r="L29" s="422">
        <f t="shared" ref="L29" si="15">IF(K29&lt;&gt;0,+G29-K29,0)</f>
        <v>0</v>
      </c>
      <c r="M29" s="419">
        <f t="shared" ref="M29" si="16">H29</f>
        <v>1256941.3903317812</v>
      </c>
      <c r="N29" s="53">
        <f t="shared" si="5"/>
        <v>0</v>
      </c>
      <c r="O29" s="53">
        <f t="shared" si="6"/>
        <v>0</v>
      </c>
      <c r="P29" s="1"/>
      <c r="R29" s="1"/>
      <c r="S29" s="1"/>
      <c r="T29" s="1"/>
      <c r="U29" s="1"/>
    </row>
    <row r="30" spans="2:21">
      <c r="B30" t="str">
        <f t="shared" si="0"/>
        <v>IU</v>
      </c>
      <c r="C30" s="49">
        <f>IF(D11="","-",+C29+1)</f>
        <v>2024</v>
      </c>
      <c r="D30" s="375">
        <v>8496510.1983206682</v>
      </c>
      <c r="E30" s="373">
        <v>378800</v>
      </c>
      <c r="F30" s="375">
        <v>8117710.1983206682</v>
      </c>
      <c r="G30" s="373">
        <v>1325242.6316728108</v>
      </c>
      <c r="H30" s="374">
        <v>1325242.6316728108</v>
      </c>
      <c r="I30" s="51">
        <f t="shared" si="1"/>
        <v>0</v>
      </c>
      <c r="J30" s="51"/>
      <c r="K30" s="419">
        <f t="shared" ref="K30" si="17">G30</f>
        <v>1325242.6316728108</v>
      </c>
      <c r="L30" s="422">
        <f t="shared" ref="L30" si="18">IF(K30&lt;&gt;0,+G30-K30,0)</f>
        <v>0</v>
      </c>
      <c r="M30" s="419">
        <f t="shared" ref="M30" si="19">H30</f>
        <v>1325242.6316728108</v>
      </c>
      <c r="N30" s="53">
        <f t="shared" ref="N30" si="20">IF(M30&lt;&gt;0,+H30-M30,0)</f>
        <v>0</v>
      </c>
      <c r="O30" s="53">
        <f t="shared" ref="O30" si="21">+N30-L30</f>
        <v>0</v>
      </c>
      <c r="P30" s="1"/>
      <c r="R30" s="1"/>
      <c r="S30" s="1"/>
      <c r="T30" s="1"/>
      <c r="U30" s="1"/>
    </row>
    <row r="31" spans="2:21">
      <c r="B31" t="str">
        <f t="shared" si="0"/>
        <v>IU</v>
      </c>
      <c r="C31" s="49">
        <f>IF(D11="","-",+C30+1)</f>
        <v>2025</v>
      </c>
      <c r="D31" s="375">
        <v>7413142.1983206682</v>
      </c>
      <c r="E31" s="373">
        <v>367941.06666666665</v>
      </c>
      <c r="F31" s="375">
        <v>7045201.1316540018</v>
      </c>
      <c r="G31" s="373">
        <v>1195319.2388970163</v>
      </c>
      <c r="H31" s="374">
        <v>1195319.2388970163</v>
      </c>
      <c r="I31" s="51">
        <f>H31-G31</f>
        <v>0</v>
      </c>
      <c r="J31" s="51"/>
      <c r="K31" s="419">
        <f t="shared" ref="K31" si="22">G31</f>
        <v>1195319.2388970163</v>
      </c>
      <c r="L31" s="422">
        <f t="shared" ref="L31" si="23">IF(K31&lt;&gt;0,+G31-K31,0)</f>
        <v>0</v>
      </c>
      <c r="M31" s="419">
        <f t="shared" ref="M31" si="24">H31</f>
        <v>1195319.2388970163</v>
      </c>
      <c r="N31" s="53">
        <f t="shared" ref="N31" si="25">IF(M31&lt;&gt;0,+H31-M31,0)</f>
        <v>0</v>
      </c>
      <c r="O31" s="53">
        <f t="shared" ref="O31" si="26">+N31-L31</f>
        <v>0</v>
      </c>
      <c r="P31" s="1"/>
      <c r="R31" s="1"/>
      <c r="S31" s="1"/>
      <c r="T31" s="1"/>
      <c r="U31" s="1"/>
    </row>
    <row r="32" spans="2:21">
      <c r="B32" t="str">
        <f t="shared" si="0"/>
        <v/>
      </c>
      <c r="C32" s="49">
        <f>IF(D12="","-",+C31+1)</f>
        <v>2026</v>
      </c>
      <c r="D32" s="54">
        <f>IF(F31+SUM(E$17:E31)=D$10,F31,D$10-SUM(E$17:E31))</f>
        <v>7045201.1316540018</v>
      </c>
      <c r="E32" s="423">
        <f>IF(+I14&lt;F31,I14,D32)</f>
        <v>367941.06666666665</v>
      </c>
      <c r="F32" s="54">
        <f>+D32-E32</f>
        <v>6677260.0649873354</v>
      </c>
      <c r="G32" s="378">
        <f t="shared" ref="G32:G73" si="27">(D32+F32)/2*I$12+E32</f>
        <v>1153208.4105290079</v>
      </c>
      <c r="H32" s="359">
        <f t="shared" ref="H32:H73" si="28">+(D32+F32)/2*I$13+E32</f>
        <v>1153208.4105290079</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2027</v>
      </c>
      <c r="D33" s="54">
        <f>IF(F32+SUM(E$17:E32)=D$10,F32,D$10-SUM(E$17:E32))</f>
        <v>6677260.0649873354</v>
      </c>
      <c r="E33" s="377">
        <f>IF(+I14&lt;F31,I14,D33)</f>
        <v>367941.06666666665</v>
      </c>
      <c r="F33" s="54">
        <f>+D33-E33</f>
        <v>6309318.9983206689</v>
      </c>
      <c r="G33" s="378">
        <f t="shared" si="27"/>
        <v>1111097.5821609995</v>
      </c>
      <c r="H33" s="359">
        <f t="shared" si="28"/>
        <v>1111097.5821609995</v>
      </c>
      <c r="I33" s="51">
        <f>H33-G33</f>
        <v>0</v>
      </c>
      <c r="J33" s="51"/>
      <c r="K33" s="112"/>
      <c r="L33" s="53">
        <f>IF(K33&lt;&gt;0,+G33-K33,0)</f>
        <v>0</v>
      </c>
      <c r="M33" s="112"/>
      <c r="N33" s="53">
        <f>IF(M33&lt;&gt;0,+H33-M33,0)</f>
        <v>0</v>
      </c>
      <c r="O33" s="53">
        <f>+N33-L33</f>
        <v>0</v>
      </c>
      <c r="P33" s="1"/>
      <c r="R33" s="1"/>
      <c r="S33" s="1"/>
      <c r="T33" s="1"/>
      <c r="U33" s="1"/>
    </row>
    <row r="34" spans="2:21">
      <c r="B34" t="str">
        <f t="shared" si="0"/>
        <v/>
      </c>
      <c r="C34" s="379">
        <f>IF(D11="","-",+C33+1)</f>
        <v>2028</v>
      </c>
      <c r="D34" s="380">
        <f>IF(F33+SUM(E$17:E33)=D$10,F33,D$10-SUM(E$17:E33))</f>
        <v>6309318.9983206689</v>
      </c>
      <c r="E34" s="381">
        <f>IF(+I14&lt;F33,I14,D34)</f>
        <v>367941.06666666665</v>
      </c>
      <c r="F34" s="380">
        <f t="shared" ref="F34:F49" si="29">+D34-E34</f>
        <v>5941377.9316540025</v>
      </c>
      <c r="G34" s="382">
        <f t="shared" si="27"/>
        <v>1068986.7537929909</v>
      </c>
      <c r="H34" s="383">
        <f t="shared" si="28"/>
        <v>1068986.7537929909</v>
      </c>
      <c r="I34" s="384">
        <f t="shared" si="1"/>
        <v>0</v>
      </c>
      <c r="J34" s="384"/>
      <c r="K34" s="385"/>
      <c r="L34" s="386">
        <f t="shared" si="3"/>
        <v>0</v>
      </c>
      <c r="M34" s="385"/>
      <c r="N34" s="386">
        <f t="shared" si="5"/>
        <v>0</v>
      </c>
      <c r="O34" s="386">
        <f t="shared" si="6"/>
        <v>0</v>
      </c>
      <c r="P34" s="387"/>
      <c r="Q34" s="187"/>
      <c r="R34" s="387"/>
      <c r="S34" s="387"/>
      <c r="T34" s="387"/>
      <c r="U34" s="1"/>
    </row>
    <row r="35" spans="2:21">
      <c r="B35" t="str">
        <f t="shared" si="0"/>
        <v/>
      </c>
      <c r="C35" s="49">
        <f>IF(D11="","-",+C34+1)</f>
        <v>2029</v>
      </c>
      <c r="D35" s="54">
        <f>IF(F34+SUM(E$17:E34)=D$10,F34,D$10-SUM(E$17:E34))</f>
        <v>5941377.9316540025</v>
      </c>
      <c r="E35" s="377">
        <f>IF(+I14&lt;F34,I14,D35)</f>
        <v>367941.06666666665</v>
      </c>
      <c r="F35" s="54">
        <f t="shared" si="29"/>
        <v>5573436.8649873361</v>
      </c>
      <c r="G35" s="378">
        <f t="shared" si="27"/>
        <v>1026875.9254249824</v>
      </c>
      <c r="H35" s="359">
        <f t="shared" si="28"/>
        <v>1026875.9254249824</v>
      </c>
      <c r="I35" s="51">
        <f t="shared" si="1"/>
        <v>0</v>
      </c>
      <c r="J35" s="51"/>
      <c r="K35" s="112"/>
      <c r="L35" s="53">
        <f t="shared" si="3"/>
        <v>0</v>
      </c>
      <c r="M35" s="112"/>
      <c r="N35" s="53">
        <f t="shared" si="5"/>
        <v>0</v>
      </c>
      <c r="O35" s="53">
        <f t="shared" si="6"/>
        <v>0</v>
      </c>
      <c r="P35" s="1"/>
      <c r="R35" s="1"/>
      <c r="S35" s="1"/>
      <c r="T35" s="1"/>
      <c r="U35" s="1"/>
    </row>
    <row r="36" spans="2:21">
      <c r="B36" t="str">
        <f t="shared" si="0"/>
        <v/>
      </c>
      <c r="C36" s="49">
        <f>IF(D11="","-",+C35+1)</f>
        <v>2030</v>
      </c>
      <c r="D36" s="54">
        <f>IF(F35+SUM(E$17:E35)=D$10,F35,D$10-SUM(E$17:E35))</f>
        <v>5573436.8649873361</v>
      </c>
      <c r="E36" s="377">
        <f>IF(+I14&lt;F35,I14,D36)</f>
        <v>367941.06666666665</v>
      </c>
      <c r="F36" s="54">
        <f t="shared" si="29"/>
        <v>5205495.7983206697</v>
      </c>
      <c r="G36" s="378">
        <f t="shared" si="27"/>
        <v>984765.09705697396</v>
      </c>
      <c r="H36" s="359">
        <f t="shared" si="28"/>
        <v>984765.09705697396</v>
      </c>
      <c r="I36" s="51">
        <f t="shared" si="1"/>
        <v>0</v>
      </c>
      <c r="J36" s="51"/>
      <c r="K36" s="112"/>
      <c r="L36" s="53">
        <f t="shared" si="3"/>
        <v>0</v>
      </c>
      <c r="M36" s="112"/>
      <c r="N36" s="53">
        <f t="shared" si="5"/>
        <v>0</v>
      </c>
      <c r="O36" s="53">
        <f t="shared" si="6"/>
        <v>0</v>
      </c>
      <c r="P36" s="1"/>
      <c r="R36" s="1"/>
      <c r="S36" s="1"/>
      <c r="T36" s="1"/>
      <c r="U36" s="1"/>
    </row>
    <row r="37" spans="2:21">
      <c r="B37" t="str">
        <f t="shared" si="0"/>
        <v/>
      </c>
      <c r="C37" s="49">
        <f>IF(D11="","-",+C36+1)</f>
        <v>2031</v>
      </c>
      <c r="D37" s="54">
        <f>IF(F36+SUM(E$17:E36)=D$10,F36,D$10-SUM(E$17:E36))</f>
        <v>5205495.7983206697</v>
      </c>
      <c r="E37" s="377">
        <f>IF(+I14&lt;F36,I14,D37)</f>
        <v>367941.06666666665</v>
      </c>
      <c r="F37" s="54">
        <f t="shared" si="29"/>
        <v>4837554.7316540033</v>
      </c>
      <c r="G37" s="378">
        <f t="shared" si="27"/>
        <v>942654.26868896547</v>
      </c>
      <c r="H37" s="359">
        <f t="shared" si="28"/>
        <v>942654.26868896547</v>
      </c>
      <c r="I37" s="51">
        <f t="shared" si="1"/>
        <v>0</v>
      </c>
      <c r="J37" s="51"/>
      <c r="K37" s="112"/>
      <c r="L37" s="53">
        <f t="shared" si="3"/>
        <v>0</v>
      </c>
      <c r="M37" s="112"/>
      <c r="N37" s="53">
        <f t="shared" si="5"/>
        <v>0</v>
      </c>
      <c r="O37" s="53">
        <f t="shared" si="6"/>
        <v>0</v>
      </c>
      <c r="P37" s="1"/>
      <c r="R37" s="1"/>
      <c r="S37" s="1"/>
      <c r="T37" s="1"/>
      <c r="U37" s="1"/>
    </row>
    <row r="38" spans="2:21">
      <c r="B38" t="str">
        <f t="shared" si="0"/>
        <v/>
      </c>
      <c r="C38" s="49">
        <f>IF(D11="","-",+C37+1)</f>
        <v>2032</v>
      </c>
      <c r="D38" s="54">
        <f>IF(F37+SUM(E$17:E37)=D$10,F37,D$10-SUM(E$17:E37))</f>
        <v>4837554.7316540033</v>
      </c>
      <c r="E38" s="377">
        <f>IF(+I14&lt;F37,I14,D38)</f>
        <v>367941.06666666665</v>
      </c>
      <c r="F38" s="54">
        <f t="shared" si="29"/>
        <v>4469613.6649873368</v>
      </c>
      <c r="G38" s="378">
        <f t="shared" si="27"/>
        <v>900543.4403209571</v>
      </c>
      <c r="H38" s="359">
        <f t="shared" si="28"/>
        <v>900543.4403209571</v>
      </c>
      <c r="I38" s="51">
        <f t="shared" si="1"/>
        <v>0</v>
      </c>
      <c r="J38" s="51"/>
      <c r="K38" s="112"/>
      <c r="L38" s="53">
        <f t="shared" si="3"/>
        <v>0</v>
      </c>
      <c r="M38" s="112"/>
      <c r="N38" s="53">
        <f t="shared" si="5"/>
        <v>0</v>
      </c>
      <c r="O38" s="53">
        <f t="shared" si="6"/>
        <v>0</v>
      </c>
      <c r="P38" s="1"/>
      <c r="R38" s="1"/>
      <c r="S38" s="1"/>
      <c r="T38" s="1"/>
      <c r="U38" s="1"/>
    </row>
    <row r="39" spans="2:21">
      <c r="B39" t="str">
        <f t="shared" si="0"/>
        <v/>
      </c>
      <c r="C39" s="49">
        <f>IF(D11="","-",+C38+1)</f>
        <v>2033</v>
      </c>
      <c r="D39" s="54">
        <f>IF(F38+SUM(E$17:E38)=D$10,F38,D$10-SUM(E$17:E38))</f>
        <v>4469613.6649873368</v>
      </c>
      <c r="E39" s="377">
        <f>IF(+I14&lt;F38,I14,D39)</f>
        <v>367941.06666666665</v>
      </c>
      <c r="F39" s="54">
        <f t="shared" si="29"/>
        <v>4101672.5983206704</v>
      </c>
      <c r="G39" s="378">
        <f t="shared" si="27"/>
        <v>858432.61195294862</v>
      </c>
      <c r="H39" s="359">
        <f t="shared" si="28"/>
        <v>858432.61195294862</v>
      </c>
      <c r="I39" s="51">
        <f t="shared" si="1"/>
        <v>0</v>
      </c>
      <c r="J39" s="51"/>
      <c r="K39" s="112"/>
      <c r="L39" s="53">
        <f t="shared" si="3"/>
        <v>0</v>
      </c>
      <c r="M39" s="112"/>
      <c r="N39" s="53">
        <f t="shared" si="5"/>
        <v>0</v>
      </c>
      <c r="O39" s="53">
        <f t="shared" si="6"/>
        <v>0</v>
      </c>
      <c r="P39" s="1"/>
      <c r="R39" s="1"/>
      <c r="S39" s="1"/>
      <c r="T39" s="1"/>
      <c r="U39" s="1"/>
    </row>
    <row r="40" spans="2:21">
      <c r="B40" t="str">
        <f t="shared" si="0"/>
        <v/>
      </c>
      <c r="C40" s="49">
        <f>IF(D11="","-",+C39+1)</f>
        <v>2034</v>
      </c>
      <c r="D40" s="54">
        <f>IF(F39+SUM(E$17:E39)=D$10,F39,D$10-SUM(E$17:E39))</f>
        <v>4101672.5983206704</v>
      </c>
      <c r="E40" s="377">
        <f>IF(+I14&lt;F39,I14,D40)</f>
        <v>367941.06666666665</v>
      </c>
      <c r="F40" s="54">
        <f t="shared" si="29"/>
        <v>3733731.531654004</v>
      </c>
      <c r="G40" s="378">
        <f t="shared" si="27"/>
        <v>816321.78358494013</v>
      </c>
      <c r="H40" s="359">
        <f t="shared" si="28"/>
        <v>816321.78358494013</v>
      </c>
      <c r="I40" s="51">
        <f t="shared" si="1"/>
        <v>0</v>
      </c>
      <c r="J40" s="51"/>
      <c r="K40" s="112"/>
      <c r="L40" s="53">
        <f t="shared" si="3"/>
        <v>0</v>
      </c>
      <c r="M40" s="112"/>
      <c r="N40" s="53">
        <f t="shared" si="5"/>
        <v>0</v>
      </c>
      <c r="O40" s="53">
        <f t="shared" si="6"/>
        <v>0</v>
      </c>
      <c r="P40" s="1"/>
      <c r="R40" s="1"/>
      <c r="S40" s="1"/>
      <c r="T40" s="1"/>
      <c r="U40" s="1"/>
    </row>
    <row r="41" spans="2:21">
      <c r="B41" t="str">
        <f t="shared" si="0"/>
        <v/>
      </c>
      <c r="C41" s="49">
        <f>IF(D12="","-",+C40+1)</f>
        <v>2035</v>
      </c>
      <c r="D41" s="54">
        <f>IF(F40+SUM(E$17:E40)=D$10,F40,D$10-SUM(E$17:E40))</f>
        <v>3733731.531654004</v>
      </c>
      <c r="E41" s="377">
        <f>IF(+I14&lt;F40,I14,D41)</f>
        <v>367941.06666666665</v>
      </c>
      <c r="F41" s="54">
        <f t="shared" si="29"/>
        <v>3365790.4649873376</v>
      </c>
      <c r="G41" s="378">
        <f t="shared" si="27"/>
        <v>774210.95521693164</v>
      </c>
      <c r="H41" s="359">
        <f t="shared" si="28"/>
        <v>774210.95521693164</v>
      </c>
      <c r="I41" s="51">
        <f t="shared" si="1"/>
        <v>0</v>
      </c>
      <c r="J41" s="51"/>
      <c r="K41" s="112"/>
      <c r="L41" s="53">
        <f t="shared" si="3"/>
        <v>0</v>
      </c>
      <c r="M41" s="112"/>
      <c r="N41" s="53">
        <f t="shared" si="5"/>
        <v>0</v>
      </c>
      <c r="O41" s="53">
        <f t="shared" si="6"/>
        <v>0</v>
      </c>
      <c r="P41" s="1"/>
      <c r="R41" s="1"/>
      <c r="S41" s="1"/>
      <c r="T41" s="1"/>
      <c r="U41" s="1"/>
    </row>
    <row r="42" spans="2:21">
      <c r="B42" t="str">
        <f t="shared" si="0"/>
        <v/>
      </c>
      <c r="C42" s="49">
        <f>IF(D13="","-",+C41+1)</f>
        <v>2036</v>
      </c>
      <c r="D42" s="54">
        <f>IF(F41+SUM(E$17:E41)=D$10,F41,D$10-SUM(E$17:E41))</f>
        <v>3365790.4649873376</v>
      </c>
      <c r="E42" s="377">
        <f>IF(+I14&lt;F41,I14,D42)</f>
        <v>367941.06666666665</v>
      </c>
      <c r="F42" s="54">
        <f t="shared" si="29"/>
        <v>2997849.3983206712</v>
      </c>
      <c r="G42" s="378">
        <f t="shared" si="27"/>
        <v>732100.12684892316</v>
      </c>
      <c r="H42" s="359">
        <f t="shared" si="28"/>
        <v>732100.12684892316</v>
      </c>
      <c r="I42" s="51">
        <f t="shared" si="1"/>
        <v>0</v>
      </c>
      <c r="J42" s="51"/>
      <c r="K42" s="112"/>
      <c r="L42" s="53">
        <f t="shared" si="3"/>
        <v>0</v>
      </c>
      <c r="M42" s="112"/>
      <c r="N42" s="53">
        <f t="shared" si="5"/>
        <v>0</v>
      </c>
      <c r="O42" s="53">
        <f t="shared" si="6"/>
        <v>0</v>
      </c>
      <c r="P42" s="1"/>
      <c r="R42" s="1"/>
      <c r="S42" s="1"/>
      <c r="T42" s="1"/>
      <c r="U42" s="1"/>
    </row>
    <row r="43" spans="2:21">
      <c r="B43" t="str">
        <f t="shared" si="0"/>
        <v/>
      </c>
      <c r="C43" s="49">
        <f>IF(D14="","-",+C42+1)</f>
        <v>2037</v>
      </c>
      <c r="D43" s="54">
        <f>IF(F42+SUM(E$17:E42)=D$10,F42,D$10-SUM(E$17:E42))</f>
        <v>2997849.3983206712</v>
      </c>
      <c r="E43" s="377">
        <f>IF(+I14&lt;F42,I14,D43)</f>
        <v>367941.06666666665</v>
      </c>
      <c r="F43" s="54">
        <f t="shared" si="29"/>
        <v>2629908.3316540048</v>
      </c>
      <c r="G43" s="378">
        <f t="shared" si="27"/>
        <v>689989.29848091467</v>
      </c>
      <c r="H43" s="359">
        <f t="shared" si="28"/>
        <v>689989.29848091467</v>
      </c>
      <c r="I43" s="51">
        <f t="shared" si="1"/>
        <v>0</v>
      </c>
      <c r="J43" s="51"/>
      <c r="K43" s="112"/>
      <c r="L43" s="53">
        <f t="shared" si="3"/>
        <v>0</v>
      </c>
      <c r="M43" s="112"/>
      <c r="N43" s="53">
        <f t="shared" si="5"/>
        <v>0</v>
      </c>
      <c r="O43" s="53">
        <f t="shared" si="6"/>
        <v>0</v>
      </c>
      <c r="P43" s="1"/>
      <c r="R43" s="1"/>
      <c r="S43" s="1"/>
      <c r="T43" s="1"/>
      <c r="U43" s="1"/>
    </row>
    <row r="44" spans="2:21">
      <c r="B44" t="str">
        <f t="shared" si="0"/>
        <v/>
      </c>
      <c r="C44" s="49">
        <f>IF(D11="","-",+C43+1)</f>
        <v>2038</v>
      </c>
      <c r="D44" s="54">
        <f>IF(F43+SUM(E$17:E43)=D$10,F43,D$10-SUM(E$17:E43))</f>
        <v>2629908.3316540048</v>
      </c>
      <c r="E44" s="377">
        <f>IF(+I14&lt;F43,I14,D44)</f>
        <v>367941.06666666665</v>
      </c>
      <c r="F44" s="54">
        <f t="shared" si="29"/>
        <v>2261967.2649873383</v>
      </c>
      <c r="G44" s="378">
        <f t="shared" si="27"/>
        <v>647878.47011290619</v>
      </c>
      <c r="H44" s="359">
        <f t="shared" si="28"/>
        <v>647878.47011290619</v>
      </c>
      <c r="I44" s="51">
        <f t="shared" si="1"/>
        <v>0</v>
      </c>
      <c r="J44" s="51"/>
      <c r="K44" s="112"/>
      <c r="L44" s="53">
        <f t="shared" si="3"/>
        <v>0</v>
      </c>
      <c r="M44" s="112"/>
      <c r="N44" s="53">
        <f t="shared" si="5"/>
        <v>0</v>
      </c>
      <c r="O44" s="53">
        <f t="shared" si="6"/>
        <v>0</v>
      </c>
      <c r="P44" s="1"/>
      <c r="R44" s="1"/>
      <c r="S44" s="1"/>
      <c r="T44" s="1"/>
      <c r="U44" s="1"/>
    </row>
    <row r="45" spans="2:21">
      <c r="B45" t="str">
        <f t="shared" si="0"/>
        <v/>
      </c>
      <c r="C45" s="49">
        <f>IF(D11="","-",+C44+1)</f>
        <v>2039</v>
      </c>
      <c r="D45" s="54">
        <f>IF(F44+SUM(E$17:E44)=D$10,F44,D$10-SUM(E$17:E44))</f>
        <v>2261967.2649873383</v>
      </c>
      <c r="E45" s="377">
        <f>IF(+I14&lt;F44,I14,D45)</f>
        <v>367941.06666666665</v>
      </c>
      <c r="F45" s="54">
        <f t="shared" si="29"/>
        <v>1894026.1983206717</v>
      </c>
      <c r="G45" s="378">
        <f t="shared" si="27"/>
        <v>605767.6417448977</v>
      </c>
      <c r="H45" s="359">
        <f t="shared" si="28"/>
        <v>605767.6417448977</v>
      </c>
      <c r="I45" s="51">
        <f t="shared" si="1"/>
        <v>0</v>
      </c>
      <c r="J45" s="51"/>
      <c r="K45" s="112"/>
      <c r="L45" s="53">
        <f t="shared" si="3"/>
        <v>0</v>
      </c>
      <c r="M45" s="112"/>
      <c r="N45" s="53">
        <f t="shared" si="5"/>
        <v>0</v>
      </c>
      <c r="O45" s="53">
        <f t="shared" si="6"/>
        <v>0</v>
      </c>
      <c r="P45" s="1"/>
      <c r="R45" s="1"/>
      <c r="S45" s="1"/>
      <c r="T45" s="1"/>
      <c r="U45" s="1"/>
    </row>
    <row r="46" spans="2:21">
      <c r="B46" t="str">
        <f t="shared" si="0"/>
        <v/>
      </c>
      <c r="C46" s="49">
        <f>IF(D11="","-",+C45+1)</f>
        <v>2040</v>
      </c>
      <c r="D46" s="54">
        <f>IF(F45+SUM(E$17:E45)=D$10,F45,D$10-SUM(E$17:E45))</f>
        <v>1894026.1983206717</v>
      </c>
      <c r="E46" s="377">
        <f>IF(+I14&lt;F45,I14,D46)</f>
        <v>367941.06666666665</v>
      </c>
      <c r="F46" s="54">
        <f t="shared" si="29"/>
        <v>1526085.131654005</v>
      </c>
      <c r="G46" s="378">
        <f t="shared" si="27"/>
        <v>563656.81337688921</v>
      </c>
      <c r="H46" s="359">
        <f t="shared" si="28"/>
        <v>563656.81337688921</v>
      </c>
      <c r="I46" s="51">
        <f t="shared" si="1"/>
        <v>0</v>
      </c>
      <c r="J46" s="51"/>
      <c r="K46" s="112"/>
      <c r="L46" s="53">
        <f t="shared" si="3"/>
        <v>0</v>
      </c>
      <c r="M46" s="112"/>
      <c r="N46" s="53">
        <f t="shared" si="5"/>
        <v>0</v>
      </c>
      <c r="O46" s="53">
        <f t="shared" si="6"/>
        <v>0</v>
      </c>
      <c r="P46" s="1"/>
      <c r="R46" s="1"/>
      <c r="S46" s="1"/>
      <c r="T46" s="1"/>
      <c r="U46" s="1"/>
    </row>
    <row r="47" spans="2:21">
      <c r="B47" t="str">
        <f t="shared" si="0"/>
        <v/>
      </c>
      <c r="C47" s="49">
        <f>IF(D11="","-",+C46+1)</f>
        <v>2041</v>
      </c>
      <c r="D47" s="54">
        <f>IF(F46+SUM(E$17:E46)=D$10,F46,D$10-SUM(E$17:E46))</f>
        <v>1526085.131654005</v>
      </c>
      <c r="E47" s="377">
        <f>IF(+I14&lt;F46,I14,D47)</f>
        <v>367941.06666666665</v>
      </c>
      <c r="F47" s="54">
        <f t="shared" si="29"/>
        <v>1158144.0649873384</v>
      </c>
      <c r="G47" s="378">
        <f t="shared" si="27"/>
        <v>521545.98500888073</v>
      </c>
      <c r="H47" s="359">
        <f t="shared" si="28"/>
        <v>521545.98500888073</v>
      </c>
      <c r="I47" s="51">
        <f t="shared" si="1"/>
        <v>0</v>
      </c>
      <c r="J47" s="51"/>
      <c r="K47" s="112"/>
      <c r="L47" s="53">
        <f t="shared" si="3"/>
        <v>0</v>
      </c>
      <c r="M47" s="112"/>
      <c r="N47" s="53">
        <f t="shared" si="5"/>
        <v>0</v>
      </c>
      <c r="O47" s="53">
        <f t="shared" si="6"/>
        <v>0</v>
      </c>
      <c r="P47" s="1"/>
      <c r="R47" s="1"/>
      <c r="S47" s="1"/>
      <c r="T47" s="1"/>
      <c r="U47" s="1"/>
    </row>
    <row r="48" spans="2:21">
      <c r="B48" t="str">
        <f t="shared" si="0"/>
        <v/>
      </c>
      <c r="C48" s="49">
        <f>IF(D11="","-",+C47+1)</f>
        <v>2042</v>
      </c>
      <c r="D48" s="54">
        <f>IF(F47+SUM(E$17:E47)=D$10,F47,D$10-SUM(E$17:E47))</f>
        <v>1158144.0649873384</v>
      </c>
      <c r="E48" s="377">
        <f>IF(+I14&lt;F47,I14,D48)</f>
        <v>367941.06666666665</v>
      </c>
      <c r="F48" s="54">
        <f t="shared" si="29"/>
        <v>790202.99832067173</v>
      </c>
      <c r="G48" s="378">
        <f t="shared" si="27"/>
        <v>479435.15664087224</v>
      </c>
      <c r="H48" s="359">
        <f t="shared" si="28"/>
        <v>479435.15664087224</v>
      </c>
      <c r="I48" s="51">
        <f t="shared" si="1"/>
        <v>0</v>
      </c>
      <c r="J48" s="51"/>
      <c r="K48" s="112"/>
      <c r="L48" s="53">
        <f t="shared" si="3"/>
        <v>0</v>
      </c>
      <c r="M48" s="112"/>
      <c r="N48" s="53">
        <f t="shared" si="5"/>
        <v>0</v>
      </c>
      <c r="O48" s="53">
        <f t="shared" si="6"/>
        <v>0</v>
      </c>
      <c r="P48" s="1"/>
      <c r="R48" s="1"/>
      <c r="S48" s="1"/>
      <c r="T48" s="1"/>
      <c r="U48" s="1"/>
    </row>
    <row r="49" spans="2:21">
      <c r="B49" t="str">
        <f t="shared" si="0"/>
        <v/>
      </c>
      <c r="C49" s="49">
        <f>IF(D11="","-",+C48+1)</f>
        <v>2043</v>
      </c>
      <c r="D49" s="54">
        <f>IF(F48+SUM(E$17:E48)=D$10,F48,D$10-SUM(E$17:E48))</f>
        <v>790202.99832067173</v>
      </c>
      <c r="E49" s="377">
        <f>IF(+I14&lt;F48,I14,D49)</f>
        <v>367941.06666666665</v>
      </c>
      <c r="F49" s="54">
        <f t="shared" si="29"/>
        <v>422261.93165400508</v>
      </c>
      <c r="G49" s="378">
        <f t="shared" si="27"/>
        <v>437324.32827286376</v>
      </c>
      <c r="H49" s="359">
        <f t="shared" si="28"/>
        <v>437324.32827286376</v>
      </c>
      <c r="I49" s="51">
        <f t="shared" si="1"/>
        <v>0</v>
      </c>
      <c r="J49" s="51"/>
      <c r="K49" s="112"/>
      <c r="L49" s="53">
        <f t="shared" si="3"/>
        <v>0</v>
      </c>
      <c r="M49" s="112"/>
      <c r="N49" s="53">
        <f t="shared" si="5"/>
        <v>0</v>
      </c>
      <c r="O49" s="53">
        <f t="shared" si="6"/>
        <v>0</v>
      </c>
      <c r="P49" s="1"/>
      <c r="R49" s="1"/>
      <c r="S49" s="1"/>
      <c r="T49" s="1"/>
      <c r="U49" s="1"/>
    </row>
    <row r="50" spans="2:21">
      <c r="B50" t="str">
        <f t="shared" ref="B50:B73" si="30">IF(D50=F49,"","IU")</f>
        <v/>
      </c>
      <c r="C50" s="49">
        <f>IF(D11="","-",+C49+1)</f>
        <v>2044</v>
      </c>
      <c r="D50" s="54">
        <f>IF(F49+SUM(E$17:E49)=D$10,F49,D$10-SUM(E$17:E49))</f>
        <v>422261.93165400508</v>
      </c>
      <c r="E50" s="377">
        <f>IF(+I14&lt;F49,I14,D50)</f>
        <v>367941.06666666665</v>
      </c>
      <c r="F50" s="54">
        <f t="shared" ref="F50:F73" si="31">+D50-E50</f>
        <v>54320.864987338427</v>
      </c>
      <c r="G50" s="378">
        <f t="shared" si="27"/>
        <v>395213.49990485521</v>
      </c>
      <c r="H50" s="359">
        <f t="shared" si="28"/>
        <v>395213.49990485521</v>
      </c>
      <c r="I50" s="51">
        <f t="shared" ref="I50:I73" si="32">H50-G50</f>
        <v>0</v>
      </c>
      <c r="J50" s="51"/>
      <c r="K50" s="112"/>
      <c r="L50" s="53">
        <f t="shared" ref="L50:L73" si="33">IF(K50&lt;&gt;0,+G50-K50,0)</f>
        <v>0</v>
      </c>
      <c r="M50" s="112"/>
      <c r="N50" s="53">
        <f t="shared" ref="N50:N73" si="34">IF(M50&lt;&gt;0,+H50-M50,0)</f>
        <v>0</v>
      </c>
      <c r="O50" s="53">
        <f t="shared" ref="O50:O73" si="35">+N50-L50</f>
        <v>0</v>
      </c>
      <c r="P50" s="1"/>
      <c r="R50" s="1"/>
      <c r="S50" s="1"/>
      <c r="T50" s="1"/>
      <c r="U50" s="1"/>
    </row>
    <row r="51" spans="2:21">
      <c r="B51" t="str">
        <f t="shared" si="30"/>
        <v/>
      </c>
      <c r="C51" s="49">
        <f>IF(D11="","-",+C50+1)</f>
        <v>2045</v>
      </c>
      <c r="D51" s="54">
        <f>IF(F50+SUM(E$17:E50)=D$10,F50,D$10-SUM(E$17:E50))</f>
        <v>54320.864987338427</v>
      </c>
      <c r="E51" s="377">
        <f>IF(+I14&lt;F50,I14,D51)</f>
        <v>54320.864987338427</v>
      </c>
      <c r="F51" s="54">
        <f t="shared" si="31"/>
        <v>0</v>
      </c>
      <c r="G51" s="378">
        <f t="shared" si="27"/>
        <v>57429.374514430587</v>
      </c>
      <c r="H51" s="359">
        <f t="shared" si="28"/>
        <v>57429.374514430587</v>
      </c>
      <c r="I51" s="51">
        <f t="shared" si="32"/>
        <v>0</v>
      </c>
      <c r="J51" s="51"/>
      <c r="K51" s="112"/>
      <c r="L51" s="53">
        <f t="shared" si="33"/>
        <v>0</v>
      </c>
      <c r="M51" s="112"/>
      <c r="N51" s="53">
        <f t="shared" si="34"/>
        <v>0</v>
      </c>
      <c r="O51" s="53">
        <f t="shared" si="35"/>
        <v>0</v>
      </c>
      <c r="P51" s="1"/>
      <c r="R51" s="1"/>
      <c r="S51" s="1"/>
      <c r="T51" s="1"/>
      <c r="U51" s="1"/>
    </row>
    <row r="52" spans="2:21">
      <c r="B52" t="str">
        <f t="shared" si="30"/>
        <v/>
      </c>
      <c r="C52" s="49">
        <f>IF(D11="","-",+C51+1)</f>
        <v>2046</v>
      </c>
      <c r="D52" s="54">
        <f>IF(F51+SUM(E$17:E51)=D$10,F51,D$10-SUM(E$17:E51))</f>
        <v>0</v>
      </c>
      <c r="E52" s="377">
        <f>IF(+I14&lt;F51,I14,D52)</f>
        <v>0</v>
      </c>
      <c r="F52" s="54">
        <f t="shared" si="31"/>
        <v>0</v>
      </c>
      <c r="G52" s="378">
        <f t="shared" si="27"/>
        <v>0</v>
      </c>
      <c r="H52" s="359">
        <f t="shared" si="28"/>
        <v>0</v>
      </c>
      <c r="I52" s="51">
        <f t="shared" si="32"/>
        <v>0</v>
      </c>
      <c r="J52" s="51"/>
      <c r="K52" s="112"/>
      <c r="L52" s="53">
        <f t="shared" si="33"/>
        <v>0</v>
      </c>
      <c r="M52" s="112"/>
      <c r="N52" s="53">
        <f t="shared" si="34"/>
        <v>0</v>
      </c>
      <c r="O52" s="53">
        <f t="shared" si="35"/>
        <v>0</v>
      </c>
      <c r="P52" s="1"/>
      <c r="R52" s="1"/>
      <c r="S52" s="1"/>
      <c r="T52" s="1"/>
      <c r="U52" s="1"/>
    </row>
    <row r="53" spans="2:21">
      <c r="B53" t="str">
        <f t="shared" si="30"/>
        <v/>
      </c>
      <c r="C53" s="49">
        <f>IF(D11="","-",+C52+1)</f>
        <v>2047</v>
      </c>
      <c r="D53" s="54">
        <f>IF(F52+SUM(E$17:E52)=D$10,F52,D$10-SUM(E$17:E52))</f>
        <v>0</v>
      </c>
      <c r="E53" s="377">
        <f>IF(+I14&lt;F52,I14,D53)</f>
        <v>0</v>
      </c>
      <c r="F53" s="54">
        <f t="shared" si="31"/>
        <v>0</v>
      </c>
      <c r="G53" s="378">
        <f t="shared" si="27"/>
        <v>0</v>
      </c>
      <c r="H53" s="359">
        <f t="shared" si="28"/>
        <v>0</v>
      </c>
      <c r="I53" s="51">
        <f t="shared" si="32"/>
        <v>0</v>
      </c>
      <c r="J53" s="51"/>
      <c r="K53" s="112"/>
      <c r="L53" s="53">
        <f t="shared" si="33"/>
        <v>0</v>
      </c>
      <c r="M53" s="112"/>
      <c r="N53" s="53">
        <f t="shared" si="34"/>
        <v>0</v>
      </c>
      <c r="O53" s="53">
        <f t="shared" si="35"/>
        <v>0</v>
      </c>
      <c r="P53" s="1"/>
      <c r="R53" s="1"/>
      <c r="S53" s="1"/>
      <c r="T53" s="1"/>
      <c r="U53" s="1"/>
    </row>
    <row r="54" spans="2:21">
      <c r="B54" t="str">
        <f t="shared" si="30"/>
        <v/>
      </c>
      <c r="C54" s="49">
        <f>IF(D11="","-",+C53+1)</f>
        <v>2048</v>
      </c>
      <c r="D54" s="54">
        <f>IF(F53+SUM(E$17:E53)=D$10,F53,D$10-SUM(E$17:E53))</f>
        <v>0</v>
      </c>
      <c r="E54" s="377">
        <f>IF(+I14&lt;F53,I14,D54)</f>
        <v>0</v>
      </c>
      <c r="F54" s="54">
        <f t="shared" si="31"/>
        <v>0</v>
      </c>
      <c r="G54" s="378">
        <f t="shared" si="27"/>
        <v>0</v>
      </c>
      <c r="H54" s="359">
        <f t="shared" si="28"/>
        <v>0</v>
      </c>
      <c r="I54" s="51">
        <f t="shared" si="32"/>
        <v>0</v>
      </c>
      <c r="J54" s="51"/>
      <c r="K54" s="112"/>
      <c r="L54" s="53">
        <f t="shared" si="33"/>
        <v>0</v>
      </c>
      <c r="M54" s="112"/>
      <c r="N54" s="53">
        <f t="shared" si="34"/>
        <v>0</v>
      </c>
      <c r="O54" s="53">
        <f t="shared" si="35"/>
        <v>0</v>
      </c>
      <c r="P54" s="1"/>
      <c r="R54" s="1"/>
      <c r="S54" s="1"/>
      <c r="T54" s="1"/>
      <c r="U54" s="1"/>
    </row>
    <row r="55" spans="2:21">
      <c r="B55" t="str">
        <f t="shared" si="30"/>
        <v/>
      </c>
      <c r="C55" s="49">
        <f>IF(D11="","-",+C54+1)</f>
        <v>2049</v>
      </c>
      <c r="D55" s="54">
        <f>IF(F54+SUM(E$17:E54)=D$10,F54,D$10-SUM(E$17:E54))</f>
        <v>0</v>
      </c>
      <c r="E55" s="377">
        <f>IF(+I14&lt;F54,I14,D55)</f>
        <v>0</v>
      </c>
      <c r="F55" s="54">
        <f t="shared" si="31"/>
        <v>0</v>
      </c>
      <c r="G55" s="378">
        <f t="shared" si="27"/>
        <v>0</v>
      </c>
      <c r="H55" s="359">
        <f t="shared" si="28"/>
        <v>0</v>
      </c>
      <c r="I55" s="51">
        <f t="shared" si="32"/>
        <v>0</v>
      </c>
      <c r="J55" s="51"/>
      <c r="K55" s="112"/>
      <c r="L55" s="53">
        <f t="shared" si="33"/>
        <v>0</v>
      </c>
      <c r="M55" s="112"/>
      <c r="N55" s="53">
        <f t="shared" si="34"/>
        <v>0</v>
      </c>
      <c r="O55" s="53">
        <f t="shared" si="35"/>
        <v>0</v>
      </c>
      <c r="P55" s="1"/>
      <c r="R55" s="1"/>
      <c r="S55" s="1"/>
      <c r="T55" s="1"/>
      <c r="U55" s="1"/>
    </row>
    <row r="56" spans="2:21">
      <c r="B56" t="str">
        <f t="shared" si="30"/>
        <v/>
      </c>
      <c r="C56" s="49">
        <f>IF(D11="","-",+C55+1)</f>
        <v>2050</v>
      </c>
      <c r="D56" s="54">
        <f>IF(F55+SUM(E$17:E55)=D$10,F55,D$10-SUM(E$17:E55))</f>
        <v>0</v>
      </c>
      <c r="E56" s="377">
        <f>IF(+I14&lt;F55,I14,D56)</f>
        <v>0</v>
      </c>
      <c r="F56" s="54">
        <f t="shared" si="31"/>
        <v>0</v>
      </c>
      <c r="G56" s="378">
        <f t="shared" si="27"/>
        <v>0</v>
      </c>
      <c r="H56" s="359">
        <f t="shared" si="28"/>
        <v>0</v>
      </c>
      <c r="I56" s="51">
        <f t="shared" si="32"/>
        <v>0</v>
      </c>
      <c r="J56" s="51"/>
      <c r="K56" s="112"/>
      <c r="L56" s="53">
        <f t="shared" si="33"/>
        <v>0</v>
      </c>
      <c r="M56" s="112"/>
      <c r="N56" s="53">
        <f t="shared" si="34"/>
        <v>0</v>
      </c>
      <c r="O56" s="53">
        <f t="shared" si="35"/>
        <v>0</v>
      </c>
      <c r="P56" s="1"/>
      <c r="R56" s="1"/>
      <c r="S56" s="1"/>
      <c r="T56" s="1"/>
      <c r="U56" s="1"/>
    </row>
    <row r="57" spans="2:21">
      <c r="B57" t="str">
        <f t="shared" si="30"/>
        <v/>
      </c>
      <c r="C57" s="49">
        <f>IF(D11="","-",+C56+1)</f>
        <v>2051</v>
      </c>
      <c r="D57" s="54">
        <f>IF(F56+SUM(E$17:E56)=D$10,F56,D$10-SUM(E$17:E56))</f>
        <v>0</v>
      </c>
      <c r="E57" s="377">
        <f>IF(+I14&lt;F56,I14,D57)</f>
        <v>0</v>
      </c>
      <c r="F57" s="54">
        <f t="shared" si="31"/>
        <v>0</v>
      </c>
      <c r="G57" s="378">
        <f t="shared" si="27"/>
        <v>0</v>
      </c>
      <c r="H57" s="359">
        <f t="shared" si="28"/>
        <v>0</v>
      </c>
      <c r="I57" s="51">
        <f t="shared" si="32"/>
        <v>0</v>
      </c>
      <c r="J57" s="51"/>
      <c r="K57" s="112"/>
      <c r="L57" s="53">
        <f t="shared" si="33"/>
        <v>0</v>
      </c>
      <c r="M57" s="112"/>
      <c r="N57" s="53">
        <f t="shared" si="34"/>
        <v>0</v>
      </c>
      <c r="O57" s="53">
        <f t="shared" si="35"/>
        <v>0</v>
      </c>
      <c r="P57" s="1"/>
      <c r="R57" s="1"/>
      <c r="S57" s="1"/>
      <c r="T57" s="1"/>
      <c r="U57" s="1"/>
    </row>
    <row r="58" spans="2:21">
      <c r="B58" t="str">
        <f t="shared" si="30"/>
        <v/>
      </c>
      <c r="C58" s="49">
        <f>IF(D11="","-",+C57+1)</f>
        <v>2052</v>
      </c>
      <c r="D58" s="54">
        <f>IF(F57+SUM(E$17:E57)=D$10,F57,D$10-SUM(E$17:E57))</f>
        <v>0</v>
      </c>
      <c r="E58" s="377">
        <f>IF(+I14&lt;F57,I14,D58)</f>
        <v>0</v>
      </c>
      <c r="F58" s="54">
        <f t="shared" si="31"/>
        <v>0</v>
      </c>
      <c r="G58" s="378">
        <f t="shared" si="27"/>
        <v>0</v>
      </c>
      <c r="H58" s="359">
        <f t="shared" si="28"/>
        <v>0</v>
      </c>
      <c r="I58" s="51">
        <f t="shared" si="32"/>
        <v>0</v>
      </c>
      <c r="J58" s="51"/>
      <c r="K58" s="112"/>
      <c r="L58" s="53">
        <f t="shared" si="33"/>
        <v>0</v>
      </c>
      <c r="M58" s="112"/>
      <c r="N58" s="53">
        <f t="shared" si="34"/>
        <v>0</v>
      </c>
      <c r="O58" s="53">
        <f t="shared" si="35"/>
        <v>0</v>
      </c>
      <c r="P58" s="1"/>
      <c r="R58" s="1"/>
      <c r="S58" s="1"/>
      <c r="T58" s="1"/>
      <c r="U58" s="1"/>
    </row>
    <row r="59" spans="2:21">
      <c r="B59" t="str">
        <f t="shared" si="30"/>
        <v/>
      </c>
      <c r="C59" s="49">
        <f>IF(D11="","-",+C58+1)</f>
        <v>2053</v>
      </c>
      <c r="D59" s="54">
        <f>IF(F58+SUM(E$17:E58)=D$10,F58,D$10-SUM(E$17:E58))</f>
        <v>0</v>
      </c>
      <c r="E59" s="377">
        <f>IF(+I14&lt;F58,I14,D59)</f>
        <v>0</v>
      </c>
      <c r="F59" s="54">
        <f t="shared" si="31"/>
        <v>0</v>
      </c>
      <c r="G59" s="378">
        <f t="shared" si="27"/>
        <v>0</v>
      </c>
      <c r="H59" s="359">
        <f t="shared" si="28"/>
        <v>0</v>
      </c>
      <c r="I59" s="51">
        <f t="shared" si="32"/>
        <v>0</v>
      </c>
      <c r="J59" s="51"/>
      <c r="K59" s="112"/>
      <c r="L59" s="53">
        <f t="shared" si="33"/>
        <v>0</v>
      </c>
      <c r="M59" s="112"/>
      <c r="N59" s="53">
        <f t="shared" si="34"/>
        <v>0</v>
      </c>
      <c r="O59" s="53">
        <f t="shared" si="35"/>
        <v>0</v>
      </c>
      <c r="P59" s="1"/>
      <c r="R59" s="1"/>
      <c r="S59" s="1"/>
      <c r="T59" s="1"/>
      <c r="U59" s="1"/>
    </row>
    <row r="60" spans="2:21">
      <c r="B60" t="str">
        <f t="shared" si="30"/>
        <v/>
      </c>
      <c r="C60" s="49">
        <f>IF(D11="","-",+C59+1)</f>
        <v>2054</v>
      </c>
      <c r="D60" s="54">
        <f>IF(F59+SUM(E$17:E59)=D$10,F59,D$10-SUM(E$17:E59))</f>
        <v>0</v>
      </c>
      <c r="E60" s="377">
        <f>IF(+I14&lt;F59,I14,D60)</f>
        <v>0</v>
      </c>
      <c r="F60" s="54">
        <f t="shared" si="31"/>
        <v>0</v>
      </c>
      <c r="G60" s="378">
        <f t="shared" si="27"/>
        <v>0</v>
      </c>
      <c r="H60" s="359">
        <f t="shared" si="28"/>
        <v>0</v>
      </c>
      <c r="I60" s="51">
        <f t="shared" si="32"/>
        <v>0</v>
      </c>
      <c r="J60" s="51"/>
      <c r="K60" s="112"/>
      <c r="L60" s="53">
        <f t="shared" si="33"/>
        <v>0</v>
      </c>
      <c r="M60" s="112"/>
      <c r="N60" s="53">
        <f t="shared" si="34"/>
        <v>0</v>
      </c>
      <c r="O60" s="53">
        <f t="shared" si="35"/>
        <v>0</v>
      </c>
      <c r="P60" s="1"/>
      <c r="R60" s="1"/>
      <c r="S60" s="1"/>
      <c r="T60" s="1"/>
      <c r="U60" s="1"/>
    </row>
    <row r="61" spans="2:21">
      <c r="B61" t="str">
        <f t="shared" si="30"/>
        <v/>
      </c>
      <c r="C61" s="49">
        <f>IF(D11="","-",+C60+1)</f>
        <v>2055</v>
      </c>
      <c r="D61" s="54">
        <f>IF(F60+SUM(E$17:E60)=D$10,F60,D$10-SUM(E$17:E60))</f>
        <v>0</v>
      </c>
      <c r="E61" s="377">
        <f>IF(+I14&lt;F60,I14,D61)</f>
        <v>0</v>
      </c>
      <c r="F61" s="54">
        <f t="shared" si="31"/>
        <v>0</v>
      </c>
      <c r="G61" s="378">
        <f t="shared" si="27"/>
        <v>0</v>
      </c>
      <c r="H61" s="359">
        <f t="shared" si="28"/>
        <v>0</v>
      </c>
      <c r="I61" s="51">
        <f t="shared" si="32"/>
        <v>0</v>
      </c>
      <c r="J61" s="51"/>
      <c r="K61" s="112"/>
      <c r="L61" s="53">
        <f t="shared" si="33"/>
        <v>0</v>
      </c>
      <c r="M61" s="112"/>
      <c r="N61" s="53">
        <f t="shared" si="34"/>
        <v>0</v>
      </c>
      <c r="O61" s="53">
        <f t="shared" si="35"/>
        <v>0</v>
      </c>
      <c r="P61" s="1"/>
      <c r="R61" s="1"/>
      <c r="S61" s="1"/>
      <c r="T61" s="1"/>
      <c r="U61" s="1"/>
    </row>
    <row r="62" spans="2:21">
      <c r="B62" t="str">
        <f t="shared" si="30"/>
        <v/>
      </c>
      <c r="C62" s="49">
        <f>IF(D11="","-",+C61+1)</f>
        <v>2056</v>
      </c>
      <c r="D62" s="54">
        <f>IF(F61+SUM(E$17:E61)=D$10,F61,D$10-SUM(E$17:E61))</f>
        <v>0</v>
      </c>
      <c r="E62" s="377">
        <f>IF(+I14&lt;F61,I14,D62)</f>
        <v>0</v>
      </c>
      <c r="F62" s="54">
        <f t="shared" si="31"/>
        <v>0</v>
      </c>
      <c r="G62" s="388">
        <f t="shared" si="27"/>
        <v>0</v>
      </c>
      <c r="H62" s="359">
        <f t="shared" si="28"/>
        <v>0</v>
      </c>
      <c r="I62" s="51">
        <f t="shared" si="32"/>
        <v>0</v>
      </c>
      <c r="J62" s="51"/>
      <c r="K62" s="112"/>
      <c r="L62" s="53">
        <f t="shared" si="33"/>
        <v>0</v>
      </c>
      <c r="M62" s="112"/>
      <c r="N62" s="53">
        <f t="shared" si="34"/>
        <v>0</v>
      </c>
      <c r="O62" s="53">
        <f t="shared" si="35"/>
        <v>0</v>
      </c>
      <c r="P62" s="1"/>
      <c r="R62" s="1"/>
      <c r="S62" s="1"/>
      <c r="T62" s="1"/>
      <c r="U62" s="1"/>
    </row>
    <row r="63" spans="2:21">
      <c r="B63" t="str">
        <f t="shared" si="30"/>
        <v/>
      </c>
      <c r="C63" s="49">
        <f>IF(D11="","-",+C62+1)</f>
        <v>2057</v>
      </c>
      <c r="D63" s="54">
        <f>IF(F62+SUM(E$17:E62)=D$10,F62,D$10-SUM(E$17:E62))</f>
        <v>0</v>
      </c>
      <c r="E63" s="377">
        <f>IF(+I14&lt;F62,I14,D63)</f>
        <v>0</v>
      </c>
      <c r="F63" s="54">
        <f t="shared" si="31"/>
        <v>0</v>
      </c>
      <c r="G63" s="388">
        <f t="shared" si="27"/>
        <v>0</v>
      </c>
      <c r="H63" s="359">
        <f t="shared" si="28"/>
        <v>0</v>
      </c>
      <c r="I63" s="51">
        <f t="shared" si="32"/>
        <v>0</v>
      </c>
      <c r="J63" s="51"/>
      <c r="K63" s="112"/>
      <c r="L63" s="53">
        <f t="shared" si="33"/>
        <v>0</v>
      </c>
      <c r="M63" s="112"/>
      <c r="N63" s="53">
        <f t="shared" si="34"/>
        <v>0</v>
      </c>
      <c r="O63" s="53">
        <f t="shared" si="35"/>
        <v>0</v>
      </c>
      <c r="P63" s="1"/>
      <c r="R63" s="1"/>
      <c r="S63" s="1"/>
      <c r="T63" s="1"/>
      <c r="U63" s="1"/>
    </row>
    <row r="64" spans="2:21">
      <c r="B64" t="str">
        <f t="shared" si="30"/>
        <v/>
      </c>
      <c r="C64" s="49">
        <f>IF(D11="","-",+C63+1)</f>
        <v>2058</v>
      </c>
      <c r="D64" s="54">
        <f>IF(F63+SUM(E$17:E63)=D$10,F63,D$10-SUM(E$17:E63))</f>
        <v>0</v>
      </c>
      <c r="E64" s="377">
        <f>IF(+I14&lt;F63,I14,D64)</f>
        <v>0</v>
      </c>
      <c r="F64" s="54">
        <f t="shared" si="31"/>
        <v>0</v>
      </c>
      <c r="G64" s="388">
        <f t="shared" si="27"/>
        <v>0</v>
      </c>
      <c r="H64" s="359">
        <f t="shared" si="28"/>
        <v>0</v>
      </c>
      <c r="I64" s="51">
        <f t="shared" si="32"/>
        <v>0</v>
      </c>
      <c r="J64" s="51"/>
      <c r="K64" s="112"/>
      <c r="L64" s="53">
        <f t="shared" si="33"/>
        <v>0</v>
      </c>
      <c r="M64" s="112"/>
      <c r="N64" s="53">
        <f t="shared" si="34"/>
        <v>0</v>
      </c>
      <c r="O64" s="53">
        <f t="shared" si="35"/>
        <v>0</v>
      </c>
      <c r="P64" s="1"/>
      <c r="R64" s="1"/>
      <c r="S64" s="1"/>
      <c r="T64" s="1"/>
      <c r="U64" s="1"/>
    </row>
    <row r="65" spans="2:21">
      <c r="B65" t="str">
        <f t="shared" si="30"/>
        <v/>
      </c>
      <c r="C65" s="49">
        <f>IF(D11="","-",+C64+1)</f>
        <v>2059</v>
      </c>
      <c r="D65" s="54">
        <f>IF(F64+SUM(E$17:E64)=D$10,F64,D$10-SUM(E$17:E64))</f>
        <v>0</v>
      </c>
      <c r="E65" s="377">
        <f>IF(+I14&lt;F64,I14,D65)</f>
        <v>0</v>
      </c>
      <c r="F65" s="54">
        <f t="shared" si="31"/>
        <v>0</v>
      </c>
      <c r="G65" s="388">
        <f t="shared" si="27"/>
        <v>0</v>
      </c>
      <c r="H65" s="359">
        <f t="shared" si="28"/>
        <v>0</v>
      </c>
      <c r="I65" s="51">
        <f t="shared" si="32"/>
        <v>0</v>
      </c>
      <c r="J65" s="51"/>
      <c r="K65" s="112"/>
      <c r="L65" s="53">
        <f t="shared" si="33"/>
        <v>0</v>
      </c>
      <c r="M65" s="112"/>
      <c r="N65" s="53">
        <f t="shared" si="34"/>
        <v>0</v>
      </c>
      <c r="O65" s="53">
        <f t="shared" si="35"/>
        <v>0</v>
      </c>
      <c r="P65" s="1"/>
      <c r="R65" s="1"/>
      <c r="S65" s="1"/>
      <c r="T65" s="1"/>
      <c r="U65" s="1"/>
    </row>
    <row r="66" spans="2:21">
      <c r="B66" t="str">
        <f t="shared" si="30"/>
        <v/>
      </c>
      <c r="C66" s="49">
        <f>IF(D11="","-",+C65+1)</f>
        <v>2060</v>
      </c>
      <c r="D66" s="54">
        <f>IF(F65+SUM(E$17:E65)=D$10,F65,D$10-SUM(E$17:E65))</f>
        <v>0</v>
      </c>
      <c r="E66" s="377">
        <f>IF(+I14&lt;F65,I14,D66)</f>
        <v>0</v>
      </c>
      <c r="F66" s="54">
        <f t="shared" si="31"/>
        <v>0</v>
      </c>
      <c r="G66" s="388">
        <f t="shared" si="27"/>
        <v>0</v>
      </c>
      <c r="H66" s="359">
        <f t="shared" si="28"/>
        <v>0</v>
      </c>
      <c r="I66" s="51">
        <f t="shared" si="32"/>
        <v>0</v>
      </c>
      <c r="J66" s="51"/>
      <c r="K66" s="112"/>
      <c r="L66" s="53">
        <f t="shared" si="33"/>
        <v>0</v>
      </c>
      <c r="M66" s="112"/>
      <c r="N66" s="53">
        <f t="shared" si="34"/>
        <v>0</v>
      </c>
      <c r="O66" s="53">
        <f t="shared" si="35"/>
        <v>0</v>
      </c>
      <c r="P66" s="1"/>
      <c r="R66" s="1"/>
      <c r="S66" s="1"/>
      <c r="T66" s="1"/>
      <c r="U66" s="1"/>
    </row>
    <row r="67" spans="2:21">
      <c r="B67" t="str">
        <f t="shared" si="30"/>
        <v/>
      </c>
      <c r="C67" s="49">
        <f>IF(D11="","-",+C66+1)</f>
        <v>2061</v>
      </c>
      <c r="D67" s="54">
        <f>IF(F66+SUM(E$17:E66)=D$10,F66,D$10-SUM(E$17:E66))</f>
        <v>0</v>
      </c>
      <c r="E67" s="377">
        <f>IF(+I14&lt;F66,I14,D67)</f>
        <v>0</v>
      </c>
      <c r="F67" s="54">
        <f t="shared" si="31"/>
        <v>0</v>
      </c>
      <c r="G67" s="388">
        <f t="shared" si="27"/>
        <v>0</v>
      </c>
      <c r="H67" s="359">
        <f t="shared" si="28"/>
        <v>0</v>
      </c>
      <c r="I67" s="51">
        <f t="shared" si="32"/>
        <v>0</v>
      </c>
      <c r="J67" s="51"/>
      <c r="K67" s="112"/>
      <c r="L67" s="53">
        <f t="shared" si="33"/>
        <v>0</v>
      </c>
      <c r="M67" s="112"/>
      <c r="N67" s="53">
        <f t="shared" si="34"/>
        <v>0</v>
      </c>
      <c r="O67" s="53">
        <f t="shared" si="35"/>
        <v>0</v>
      </c>
      <c r="P67" s="1"/>
      <c r="R67" s="1"/>
      <c r="S67" s="1"/>
      <c r="T67" s="1"/>
      <c r="U67" s="1"/>
    </row>
    <row r="68" spans="2:21">
      <c r="B68" t="str">
        <f t="shared" si="30"/>
        <v/>
      </c>
      <c r="C68" s="49">
        <f>IF(D11="","-",+C67+1)</f>
        <v>2062</v>
      </c>
      <c r="D68" s="54">
        <f>IF(F67+SUM(E$17:E67)=D$10,F67,D$10-SUM(E$17:E67))</f>
        <v>0</v>
      </c>
      <c r="E68" s="377">
        <f>IF(+I14&lt;F67,I14,D68)</f>
        <v>0</v>
      </c>
      <c r="F68" s="54">
        <f t="shared" si="31"/>
        <v>0</v>
      </c>
      <c r="G68" s="388">
        <f t="shared" si="27"/>
        <v>0</v>
      </c>
      <c r="H68" s="359">
        <f t="shared" si="28"/>
        <v>0</v>
      </c>
      <c r="I68" s="51">
        <f t="shared" si="32"/>
        <v>0</v>
      </c>
      <c r="J68" s="51"/>
      <c r="K68" s="112"/>
      <c r="L68" s="53">
        <f t="shared" si="33"/>
        <v>0</v>
      </c>
      <c r="M68" s="112"/>
      <c r="N68" s="53">
        <f t="shared" si="34"/>
        <v>0</v>
      </c>
      <c r="O68" s="53">
        <f t="shared" si="35"/>
        <v>0</v>
      </c>
      <c r="P68" s="1"/>
      <c r="R68" s="1"/>
      <c r="S68" s="1"/>
      <c r="T68" s="1"/>
      <c r="U68" s="1"/>
    </row>
    <row r="69" spans="2:21">
      <c r="B69" t="str">
        <f t="shared" si="30"/>
        <v/>
      </c>
      <c r="C69" s="49">
        <f>IF(D11="","-",+C68+1)</f>
        <v>2063</v>
      </c>
      <c r="D69" s="54">
        <f>IF(F68+SUM(E$17:E68)=D$10,F68,D$10-SUM(E$17:E68))</f>
        <v>0</v>
      </c>
      <c r="E69" s="377">
        <f>IF(+I14&lt;F68,I14,D69)</f>
        <v>0</v>
      </c>
      <c r="F69" s="54">
        <f t="shared" si="31"/>
        <v>0</v>
      </c>
      <c r="G69" s="388">
        <f t="shared" si="27"/>
        <v>0</v>
      </c>
      <c r="H69" s="359">
        <f t="shared" si="28"/>
        <v>0</v>
      </c>
      <c r="I69" s="51">
        <f t="shared" si="32"/>
        <v>0</v>
      </c>
      <c r="J69" s="51"/>
      <c r="K69" s="112"/>
      <c r="L69" s="53">
        <f t="shared" si="33"/>
        <v>0</v>
      </c>
      <c r="M69" s="112"/>
      <c r="N69" s="53">
        <f t="shared" si="34"/>
        <v>0</v>
      </c>
      <c r="O69" s="53">
        <f t="shared" si="35"/>
        <v>0</v>
      </c>
      <c r="P69" s="1"/>
      <c r="R69" s="1"/>
      <c r="S69" s="1"/>
      <c r="T69" s="1"/>
      <c r="U69" s="1"/>
    </row>
    <row r="70" spans="2:21">
      <c r="B70" t="str">
        <f t="shared" si="30"/>
        <v/>
      </c>
      <c r="C70" s="49">
        <f>IF(D11="","-",+C69+1)</f>
        <v>2064</v>
      </c>
      <c r="D70" s="54">
        <f>IF(F69+SUM(E$17:E69)=D$10,F69,D$10-SUM(E$17:E69))</f>
        <v>0</v>
      </c>
      <c r="E70" s="377">
        <f>IF(+I14&lt;F69,I14,D70)</f>
        <v>0</v>
      </c>
      <c r="F70" s="54">
        <f t="shared" si="31"/>
        <v>0</v>
      </c>
      <c r="G70" s="388">
        <f t="shared" si="27"/>
        <v>0</v>
      </c>
      <c r="H70" s="359">
        <f t="shared" si="28"/>
        <v>0</v>
      </c>
      <c r="I70" s="51">
        <f t="shared" si="32"/>
        <v>0</v>
      </c>
      <c r="J70" s="51"/>
      <c r="K70" s="112"/>
      <c r="L70" s="53">
        <f t="shared" si="33"/>
        <v>0</v>
      </c>
      <c r="M70" s="112"/>
      <c r="N70" s="53">
        <f t="shared" si="34"/>
        <v>0</v>
      </c>
      <c r="O70" s="53">
        <f t="shared" si="35"/>
        <v>0</v>
      </c>
      <c r="P70" s="1"/>
      <c r="R70" s="1"/>
      <c r="S70" s="1"/>
      <c r="T70" s="1"/>
      <c r="U70" s="1"/>
    </row>
    <row r="71" spans="2:21">
      <c r="B71" t="str">
        <f t="shared" si="30"/>
        <v/>
      </c>
      <c r="C71" s="49">
        <f>IF(D11="","-",+C70+1)</f>
        <v>2065</v>
      </c>
      <c r="D71" s="54">
        <f>IF(F70+SUM(E$17:E70)=D$10,F70,D$10-SUM(E$17:E70))</f>
        <v>0</v>
      </c>
      <c r="E71" s="377">
        <f>IF(+I14&lt;F70,I14,D71)</f>
        <v>0</v>
      </c>
      <c r="F71" s="54">
        <f t="shared" si="31"/>
        <v>0</v>
      </c>
      <c r="G71" s="388">
        <f t="shared" si="27"/>
        <v>0</v>
      </c>
      <c r="H71" s="359">
        <f t="shared" si="28"/>
        <v>0</v>
      </c>
      <c r="I71" s="51">
        <f t="shared" si="32"/>
        <v>0</v>
      </c>
      <c r="J71" s="51"/>
      <c r="K71" s="112"/>
      <c r="L71" s="53">
        <f t="shared" si="33"/>
        <v>0</v>
      </c>
      <c r="M71" s="112"/>
      <c r="N71" s="53">
        <f t="shared" si="34"/>
        <v>0</v>
      </c>
      <c r="O71" s="53">
        <f t="shared" si="35"/>
        <v>0</v>
      </c>
      <c r="P71" s="1"/>
      <c r="R71" s="1"/>
      <c r="S71" s="1"/>
      <c r="T71" s="1"/>
      <c r="U71" s="1"/>
    </row>
    <row r="72" spans="2:21">
      <c r="B72" t="str">
        <f t="shared" si="30"/>
        <v/>
      </c>
      <c r="C72" s="49">
        <f>IF(D11="","-",+C71+1)</f>
        <v>2066</v>
      </c>
      <c r="D72" s="54">
        <f>IF(F71+SUM(E$17:E71)=D$10,F71,D$10-SUM(E$17:E71))</f>
        <v>0</v>
      </c>
      <c r="E72" s="377">
        <f>IF(+I14&lt;F71,I14,D72)</f>
        <v>0</v>
      </c>
      <c r="F72" s="54">
        <f t="shared" si="31"/>
        <v>0</v>
      </c>
      <c r="G72" s="388">
        <f t="shared" si="27"/>
        <v>0</v>
      </c>
      <c r="H72" s="359">
        <f t="shared" si="28"/>
        <v>0</v>
      </c>
      <c r="I72" s="51">
        <f t="shared" si="32"/>
        <v>0</v>
      </c>
      <c r="J72" s="51"/>
      <c r="K72" s="112"/>
      <c r="L72" s="53">
        <f t="shared" si="33"/>
        <v>0</v>
      </c>
      <c r="M72" s="112"/>
      <c r="N72" s="53">
        <f t="shared" si="34"/>
        <v>0</v>
      </c>
      <c r="O72" s="53">
        <f t="shared" si="35"/>
        <v>0</v>
      </c>
      <c r="P72" s="1"/>
      <c r="R72" s="1"/>
      <c r="S72" s="1"/>
      <c r="T72" s="1"/>
      <c r="U72" s="1"/>
    </row>
    <row r="73" spans="2:21" ht="13.5" thickBot="1">
      <c r="B73" t="str">
        <f t="shared" si="30"/>
        <v/>
      </c>
      <c r="C73" s="58">
        <f>IF(D11="","-",+C72+1)</f>
        <v>2067</v>
      </c>
      <c r="D73" s="59">
        <f>IF(F72+SUM(E$17:E72)=D$10,F72,D$10-SUM(E$17:E72))</f>
        <v>0</v>
      </c>
      <c r="E73" s="389">
        <f>IF(+I14&lt;F72,I14,D73)</f>
        <v>0</v>
      </c>
      <c r="F73" s="59">
        <f t="shared" si="31"/>
        <v>0</v>
      </c>
      <c r="G73" s="390">
        <f t="shared" si="27"/>
        <v>0</v>
      </c>
      <c r="H73" s="357">
        <f t="shared" si="28"/>
        <v>0</v>
      </c>
      <c r="I73" s="62">
        <f t="shared" si="32"/>
        <v>0</v>
      </c>
      <c r="J73" s="51"/>
      <c r="K73" s="113"/>
      <c r="L73" s="63">
        <f t="shared" si="33"/>
        <v>0</v>
      </c>
      <c r="M73" s="113"/>
      <c r="N73" s="63">
        <f t="shared" si="34"/>
        <v>0</v>
      </c>
      <c r="O73" s="63">
        <f t="shared" si="35"/>
        <v>0</v>
      </c>
      <c r="P73" s="1"/>
      <c r="R73" s="1"/>
      <c r="S73" s="1"/>
      <c r="T73" s="1"/>
      <c r="U73" s="1"/>
    </row>
    <row r="74" spans="2:21">
      <c r="C74" s="11" t="s">
        <v>75</v>
      </c>
      <c r="D74" s="242"/>
      <c r="E74" s="242">
        <f>SUM(E17:E73)</f>
        <v>11038232</v>
      </c>
      <c r="F74" s="242"/>
      <c r="G74" s="242">
        <f>SUM(G17:G73)</f>
        <v>34863425.649288535</v>
      </c>
      <c r="H74" s="242">
        <f>SUM(H17:H73)</f>
        <v>34863425.649288535</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4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1195319.2388970163</v>
      </c>
      <c r="N88" s="396">
        <f>IF(J93&lt;D11,0,VLOOKUP(J93,C17:O73,11))</f>
        <v>1195319.2388970163</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1041771.4753733322</v>
      </c>
      <c r="N89" s="399">
        <f>IF(J93&lt;D11,0,VLOOKUP(J93,C100:P155,7))</f>
        <v>1041771.4753733322</v>
      </c>
      <c r="O89" s="70">
        <f>+N89-M89</f>
        <v>0</v>
      </c>
      <c r="P89" s="1"/>
      <c r="Q89" s="1"/>
      <c r="R89" s="1"/>
      <c r="S89" s="1"/>
      <c r="T89" s="1"/>
      <c r="U89" s="1"/>
    </row>
    <row r="90" spans="1:21" ht="13.5" thickBot="1">
      <c r="C90" s="25" t="s">
        <v>82</v>
      </c>
      <c r="D90" s="96" t="str">
        <f>+D7</f>
        <v xml:space="preserve">Bartlesville SE to Coffeyville T Rebuild </v>
      </c>
      <c r="E90" s="1"/>
      <c r="F90" s="1"/>
      <c r="G90" s="1"/>
      <c r="H90" s="1"/>
      <c r="I90" s="260"/>
      <c r="J90" s="260"/>
      <c r="K90" s="400"/>
      <c r="L90" s="109" t="s">
        <v>135</v>
      </c>
      <c r="M90" s="401">
        <f>+M89-M88</f>
        <v>-153547.76352368412</v>
      </c>
      <c r="N90" s="401">
        <f>+N89-N88</f>
        <v>-153547.76352368412</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tr">
        <f>+D9</f>
        <v>TP2008079</v>
      </c>
      <c r="E92" s="75" t="s">
        <v>310</v>
      </c>
      <c r="F92" s="527">
        <f>F9</f>
        <v>446</v>
      </c>
      <c r="G92" s="75"/>
      <c r="H92" s="75"/>
      <c r="I92" s="75"/>
      <c r="J92" s="75"/>
      <c r="Q92" s="1"/>
      <c r="R92" s="1"/>
      <c r="S92" s="1"/>
      <c r="T92" s="1"/>
      <c r="U92" s="1"/>
    </row>
    <row r="93" spans="1:21">
      <c r="C93" s="34" t="s">
        <v>49</v>
      </c>
      <c r="D93" s="424">
        <v>11038232</v>
      </c>
      <c r="E93" s="1" t="s">
        <v>84</v>
      </c>
      <c r="H93" s="2"/>
      <c r="I93" s="2"/>
      <c r="J93" s="36">
        <f>+'OKT.WS.G.BPU.ATRR.True-up'!M16</f>
        <v>2025</v>
      </c>
      <c r="K93" s="33"/>
      <c r="L93" s="242" t="s">
        <v>85</v>
      </c>
      <c r="P93" s="1"/>
      <c r="Q93" s="1"/>
      <c r="R93" s="1"/>
      <c r="S93" s="1"/>
      <c r="T93" s="1"/>
      <c r="U93" s="1"/>
    </row>
    <row r="94" spans="1:21">
      <c r="C94" s="34" t="s">
        <v>52</v>
      </c>
      <c r="D94" s="85">
        <f>IF(D11=I10,"",D11)</f>
        <v>2011</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85">
        <f>IF(D11=I10,"",D12)</f>
        <v>6</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344944.75</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0" t="s">
        <v>177</v>
      </c>
      <c r="M98" s="365" t="s">
        <v>89</v>
      </c>
      <c r="N98" s="360" t="s">
        <v>177</v>
      </c>
      <c r="O98" s="365" t="s">
        <v>89</v>
      </c>
      <c r="P98" s="365" t="s">
        <v>67</v>
      </c>
      <c r="Q98" s="1"/>
      <c r="R98" s="1"/>
      <c r="S98" s="1"/>
      <c r="T98" s="1"/>
      <c r="U98" s="1"/>
    </row>
    <row r="99" spans="1:21" ht="13.5" thickBot="1">
      <c r="C99" s="46" t="s">
        <v>68</v>
      </c>
      <c r="D99" s="80" t="s">
        <v>69</v>
      </c>
      <c r="E99" s="46" t="s">
        <v>70</v>
      </c>
      <c r="F99" s="46" t="s">
        <v>69</v>
      </c>
      <c r="G99" s="46" t="s">
        <v>69</v>
      </c>
      <c r="H99" s="369" t="s">
        <v>71</v>
      </c>
      <c r="I99" s="367" t="s">
        <v>72</v>
      </c>
      <c r="J99" s="46" t="s">
        <v>93</v>
      </c>
      <c r="K99" s="44"/>
      <c r="L99" s="425" t="s">
        <v>74</v>
      </c>
      <c r="M99" s="425" t="s">
        <v>74</v>
      </c>
      <c r="N99" s="425" t="s">
        <v>94</v>
      </c>
      <c r="O99" s="425" t="s">
        <v>94</v>
      </c>
      <c r="P99" s="425" t="s">
        <v>94</v>
      </c>
      <c r="Q99" s="1"/>
      <c r="R99" s="1"/>
      <c r="S99" s="1"/>
      <c r="T99" s="1"/>
      <c r="U99" s="1"/>
    </row>
    <row r="100" spans="1:21">
      <c r="B100" t="str">
        <f t="shared" ref="B100:B131" si="36">IF(D100=F99,"","IU")</f>
        <v>IU</v>
      </c>
      <c r="C100" s="49">
        <f>IF(D94= "","-",D94)</f>
        <v>2011</v>
      </c>
      <c r="D100" s="371">
        <v>0</v>
      </c>
      <c r="E100" s="373">
        <v>101638.13793103448</v>
      </c>
      <c r="F100" s="375">
        <v>11688385.862068966</v>
      </c>
      <c r="G100" s="406">
        <v>5844192.931034483</v>
      </c>
      <c r="H100" s="406">
        <v>536168.05303368822</v>
      </c>
      <c r="I100" s="406">
        <v>536168.05303368822</v>
      </c>
      <c r="J100" s="53">
        <v>0</v>
      </c>
      <c r="K100" s="415"/>
      <c r="L100" s="426">
        <f t="shared" ref="L100:L105" si="37">H100</f>
        <v>536168.05303368822</v>
      </c>
      <c r="M100" s="386">
        <f t="shared" ref="M100:M131" si="38">IF(L100&lt;&gt;0,+H100-L100,0)</f>
        <v>0</v>
      </c>
      <c r="N100" s="427">
        <f t="shared" ref="N100:N105" si="39">I100</f>
        <v>536168.05303368822</v>
      </c>
      <c r="O100" s="428">
        <f t="shared" ref="O100:O131" si="40">IF(N100&lt;&gt;0,+I100-N100,0)</f>
        <v>0</v>
      </c>
      <c r="P100" s="529">
        <f t="shared" ref="P100:P131" si="41">+O100-M100</f>
        <v>0</v>
      </c>
      <c r="Q100" s="1"/>
      <c r="R100" s="1"/>
      <c r="S100" s="1"/>
      <c r="T100" s="1"/>
      <c r="U100" s="1"/>
    </row>
    <row r="101" spans="1:21">
      <c r="B101" t="str">
        <f t="shared" si="36"/>
        <v>IU</v>
      </c>
      <c r="C101" s="49">
        <f>IF(D94="","-",+C100+1)</f>
        <v>2012</v>
      </c>
      <c r="D101" s="371">
        <v>11641161.862068966</v>
      </c>
      <c r="E101" s="373">
        <v>202462.06896551725</v>
      </c>
      <c r="F101" s="375">
        <v>11438699.793103449</v>
      </c>
      <c r="G101" s="375">
        <v>11539930.827586208</v>
      </c>
      <c r="H101" s="373">
        <v>1372027.6470996495</v>
      </c>
      <c r="I101" s="374">
        <v>1372027.6470996495</v>
      </c>
      <c r="J101" s="53">
        <v>0</v>
      </c>
      <c r="K101" s="415"/>
      <c r="L101" s="419">
        <f t="shared" si="37"/>
        <v>1372027.6470996495</v>
      </c>
      <c r="M101" s="53">
        <f t="shared" ref="M101:M106" si="42">IF(L101&lt;&gt;0,+H101-L101,0)</f>
        <v>0</v>
      </c>
      <c r="N101" s="376">
        <f t="shared" si="39"/>
        <v>1372027.6470996495</v>
      </c>
      <c r="O101" s="64">
        <f>IF(N101&lt;&gt;0,+I101-N101,0)</f>
        <v>0</v>
      </c>
      <c r="P101" s="530">
        <f>+O101-M101</f>
        <v>0</v>
      </c>
      <c r="Q101" s="1"/>
      <c r="R101" s="1"/>
      <c r="S101" s="1"/>
      <c r="T101" s="1"/>
      <c r="U101" s="1"/>
    </row>
    <row r="102" spans="1:21">
      <c r="B102" t="str">
        <f t="shared" si="36"/>
        <v/>
      </c>
      <c r="C102" s="49">
        <f>IF(D94="","-",+C101+1)</f>
        <v>2013</v>
      </c>
      <c r="D102" s="371">
        <v>11438699.793103449</v>
      </c>
      <c r="E102" s="373">
        <v>202462.06896551725</v>
      </c>
      <c r="F102" s="375">
        <v>11236237.724137932</v>
      </c>
      <c r="G102" s="375">
        <v>11337468.758620691</v>
      </c>
      <c r="H102" s="373">
        <v>1491078.2600060694</v>
      </c>
      <c r="I102" s="374">
        <v>1491078.2600060694</v>
      </c>
      <c r="J102" s="53">
        <v>0</v>
      </c>
      <c r="K102" s="53"/>
      <c r="L102" s="419">
        <f t="shared" si="37"/>
        <v>1491078.2600060694</v>
      </c>
      <c r="M102" s="53">
        <f t="shared" si="42"/>
        <v>0</v>
      </c>
      <c r="N102" s="376">
        <f t="shared" si="39"/>
        <v>1491078.2600060694</v>
      </c>
      <c r="O102" s="64">
        <f>IF(N102&lt;&gt;0,+I102-N102,0)</f>
        <v>0</v>
      </c>
      <c r="P102" s="530">
        <f>+O102-M102</f>
        <v>0</v>
      </c>
      <c r="Q102" s="1"/>
      <c r="R102" s="1"/>
      <c r="S102" s="1"/>
      <c r="T102" s="1"/>
      <c r="U102" s="1"/>
    </row>
    <row r="103" spans="1:21">
      <c r="B103" t="str">
        <f t="shared" si="36"/>
        <v/>
      </c>
      <c r="C103" s="49">
        <f>IF(D94="","-",+C102+1)</f>
        <v>2014</v>
      </c>
      <c r="D103" s="371">
        <v>11236237.724137932</v>
      </c>
      <c r="E103" s="373">
        <v>202462.06896551725</v>
      </c>
      <c r="F103" s="375">
        <v>11033775.655172415</v>
      </c>
      <c r="G103" s="375">
        <v>11135006.689655174</v>
      </c>
      <c r="H103" s="373">
        <v>1399958.856395772</v>
      </c>
      <c r="I103" s="374">
        <v>1399958.856395772</v>
      </c>
      <c r="J103" s="53">
        <v>0</v>
      </c>
      <c r="K103" s="53"/>
      <c r="L103" s="419">
        <f t="shared" si="37"/>
        <v>1399958.856395772</v>
      </c>
      <c r="M103" s="53">
        <f t="shared" si="42"/>
        <v>0</v>
      </c>
      <c r="N103" s="376">
        <f t="shared" si="39"/>
        <v>1399958.856395772</v>
      </c>
      <c r="O103" s="64">
        <f>IF(N103&lt;&gt;0,+I103-N103,0)</f>
        <v>0</v>
      </c>
      <c r="P103" s="530">
        <f>+O103-M103</f>
        <v>0</v>
      </c>
      <c r="Q103" s="1"/>
      <c r="R103" s="1"/>
      <c r="S103" s="1"/>
      <c r="T103" s="1"/>
      <c r="U103" s="1"/>
    </row>
    <row r="104" spans="1:21">
      <c r="B104" t="str">
        <f t="shared" si="36"/>
        <v>IU</v>
      </c>
      <c r="C104" s="49">
        <f>IF(D94="","-",+C103+1)</f>
        <v>2015</v>
      </c>
      <c r="D104" s="371">
        <v>10329207.655172413</v>
      </c>
      <c r="E104" s="373">
        <v>229963.16666666666</v>
      </c>
      <c r="F104" s="375">
        <v>10099244.488505747</v>
      </c>
      <c r="G104" s="375">
        <v>10214226.071839079</v>
      </c>
      <c r="H104" s="373">
        <v>1367107.118762597</v>
      </c>
      <c r="I104" s="374">
        <v>1367107.118762597</v>
      </c>
      <c r="J104" s="53">
        <v>0</v>
      </c>
      <c r="K104" s="53"/>
      <c r="L104" s="419">
        <f t="shared" si="37"/>
        <v>1367107.118762597</v>
      </c>
      <c r="M104" s="53">
        <f t="shared" si="42"/>
        <v>0</v>
      </c>
      <c r="N104" s="376">
        <f t="shared" si="39"/>
        <v>1367107.118762597</v>
      </c>
      <c r="O104" s="51">
        <f t="shared" si="40"/>
        <v>0</v>
      </c>
      <c r="P104" s="53">
        <f t="shared" si="41"/>
        <v>0</v>
      </c>
      <c r="Q104" s="1"/>
      <c r="R104" s="1"/>
      <c r="S104" s="1"/>
      <c r="T104" s="1"/>
      <c r="U104" s="1"/>
    </row>
    <row r="105" spans="1:21">
      <c r="B105" t="str">
        <f t="shared" si="36"/>
        <v/>
      </c>
      <c r="C105" s="49">
        <f>IF(D94="","-",+C104+1)</f>
        <v>2016</v>
      </c>
      <c r="D105" s="371">
        <v>10099244.488505747</v>
      </c>
      <c r="E105" s="373">
        <v>216435.92156862744</v>
      </c>
      <c r="F105" s="375">
        <v>9882808.5669371206</v>
      </c>
      <c r="G105" s="375">
        <v>9991026.5277214348</v>
      </c>
      <c r="H105" s="373">
        <v>1299158.0653771381</v>
      </c>
      <c r="I105" s="374">
        <v>1299158.0653771381</v>
      </c>
      <c r="J105" s="53">
        <f t="shared" ref="J105:J131" si="43">+I105-H105</f>
        <v>0</v>
      </c>
      <c r="K105" s="53"/>
      <c r="L105" s="419">
        <f t="shared" si="37"/>
        <v>1299158.0653771381</v>
      </c>
      <c r="M105" s="53">
        <f t="shared" si="42"/>
        <v>0</v>
      </c>
      <c r="N105" s="376">
        <f t="shared" si="39"/>
        <v>1299158.0653771381</v>
      </c>
      <c r="O105" s="51">
        <f>IF(N105&lt;&gt;0,+I105-N105,0)</f>
        <v>0</v>
      </c>
      <c r="P105" s="53">
        <f>+O105-M105</f>
        <v>0</v>
      </c>
      <c r="Q105" s="1"/>
      <c r="R105" s="1"/>
      <c r="S105" s="1"/>
      <c r="T105" s="1"/>
      <c r="U105" s="1"/>
    </row>
    <row r="106" spans="1:21">
      <c r="B106" t="str">
        <f t="shared" si="36"/>
        <v/>
      </c>
      <c r="C106" s="49">
        <f>IF(D94="","-",+C105+1)</f>
        <v>2017</v>
      </c>
      <c r="D106" s="371">
        <v>9882808.5669371206</v>
      </c>
      <c r="E106" s="373">
        <v>275955.8</v>
      </c>
      <c r="F106" s="375">
        <v>9606852.7669371199</v>
      </c>
      <c r="G106" s="375">
        <v>9744830.6669371203</v>
      </c>
      <c r="H106" s="373">
        <v>1419373.9279001462</v>
      </c>
      <c r="I106" s="374">
        <v>1419373.9279001462</v>
      </c>
      <c r="J106" s="53">
        <v>0</v>
      </c>
      <c r="K106" s="53"/>
      <c r="L106" s="419">
        <f t="shared" ref="L106:L111" si="44">H106</f>
        <v>1419373.9279001462</v>
      </c>
      <c r="M106" s="53">
        <f t="shared" si="42"/>
        <v>0</v>
      </c>
      <c r="N106" s="376">
        <f t="shared" ref="N106:N111" si="45">I106</f>
        <v>1419373.9279001462</v>
      </c>
      <c r="O106" s="51">
        <f>IF(N106&lt;&gt;0,+I106-N106,0)</f>
        <v>0</v>
      </c>
      <c r="P106" s="53">
        <f>+O106-M106</f>
        <v>0</v>
      </c>
      <c r="Q106" s="1"/>
      <c r="R106" s="1"/>
      <c r="S106" s="1"/>
      <c r="T106" s="1"/>
      <c r="U106" s="1"/>
    </row>
    <row r="107" spans="1:21">
      <c r="B107" t="str">
        <f t="shared" si="36"/>
        <v/>
      </c>
      <c r="C107" s="49">
        <f>IF(D94="","-",+C106+1)</f>
        <v>2018</v>
      </c>
      <c r="D107" s="371">
        <v>9606852.7669371199</v>
      </c>
      <c r="E107" s="373">
        <v>306617.55555555556</v>
      </c>
      <c r="F107" s="375">
        <v>9300235.2113815639</v>
      </c>
      <c r="G107" s="375">
        <v>9453543.9891593419</v>
      </c>
      <c r="H107" s="373">
        <v>1304556.8117171286</v>
      </c>
      <c r="I107" s="374">
        <v>1304556.8117171286</v>
      </c>
      <c r="J107" s="53">
        <f t="shared" si="43"/>
        <v>0</v>
      </c>
      <c r="K107" s="53"/>
      <c r="L107" s="419">
        <f t="shared" si="44"/>
        <v>1304556.8117171286</v>
      </c>
      <c r="M107" s="53">
        <f t="shared" ref="M107" si="46">IF(L107&lt;&gt;0,+H107-L107,0)</f>
        <v>0</v>
      </c>
      <c r="N107" s="376">
        <f t="shared" si="45"/>
        <v>1304556.8117171286</v>
      </c>
      <c r="O107" s="51">
        <f>IF(N107&lt;&gt;0,+I107-N107,0)</f>
        <v>0</v>
      </c>
      <c r="P107" s="53">
        <f>+O107-M107</f>
        <v>0</v>
      </c>
      <c r="Q107" s="1"/>
      <c r="R107" s="1"/>
      <c r="S107" s="1"/>
      <c r="T107" s="1"/>
      <c r="U107" s="1"/>
    </row>
    <row r="108" spans="1:21">
      <c r="B108" t="str">
        <f t="shared" si="36"/>
        <v/>
      </c>
      <c r="C108" s="49">
        <f>IF(D94="","-",+C107+1)</f>
        <v>2019</v>
      </c>
      <c r="D108" s="371">
        <v>9300235.2113815639</v>
      </c>
      <c r="E108" s="373">
        <v>306617.55555555556</v>
      </c>
      <c r="F108" s="375">
        <v>8993617.6558260079</v>
      </c>
      <c r="G108" s="375">
        <v>9146926.4336037859</v>
      </c>
      <c r="H108" s="373">
        <v>1272189.5116159101</v>
      </c>
      <c r="I108" s="374">
        <v>1272189.5116159101</v>
      </c>
      <c r="J108" s="53">
        <f t="shared" si="43"/>
        <v>0</v>
      </c>
      <c r="K108" s="53"/>
      <c r="L108" s="419">
        <f t="shared" si="44"/>
        <v>1272189.5116159101</v>
      </c>
      <c r="M108" s="53">
        <f t="shared" ref="M108" si="47">IF(L108&lt;&gt;0,+H108-L108,0)</f>
        <v>0</v>
      </c>
      <c r="N108" s="376">
        <f t="shared" si="45"/>
        <v>1272189.5116159101</v>
      </c>
      <c r="O108" s="53">
        <f t="shared" si="40"/>
        <v>0</v>
      </c>
      <c r="P108" s="53">
        <f t="shared" si="41"/>
        <v>0</v>
      </c>
      <c r="Q108" s="1"/>
      <c r="R108" s="1"/>
      <c r="S108" s="1"/>
      <c r="T108" s="1"/>
      <c r="U108" s="1"/>
    </row>
    <row r="109" spans="1:21">
      <c r="B109" t="str">
        <f t="shared" si="36"/>
        <v/>
      </c>
      <c r="C109" s="49">
        <f>IF(D94="","-",+C108+1)</f>
        <v>2020</v>
      </c>
      <c r="D109" s="371">
        <v>8993617.6558260079</v>
      </c>
      <c r="E109" s="373">
        <v>394222.57142857142</v>
      </c>
      <c r="F109" s="375">
        <v>8599395.0843974371</v>
      </c>
      <c r="G109" s="375">
        <v>8796506.3701117225</v>
      </c>
      <c r="H109" s="373">
        <v>1330289.5929866973</v>
      </c>
      <c r="I109" s="374">
        <v>1330289.5929866973</v>
      </c>
      <c r="J109" s="53">
        <f t="shared" si="43"/>
        <v>0</v>
      </c>
      <c r="K109" s="53"/>
      <c r="L109" s="419">
        <f t="shared" si="44"/>
        <v>1330289.5929866973</v>
      </c>
      <c r="M109" s="53">
        <f t="shared" ref="M109" si="48">IF(L109&lt;&gt;0,+H109-L109,0)</f>
        <v>0</v>
      </c>
      <c r="N109" s="376">
        <f t="shared" si="45"/>
        <v>1330289.5929866973</v>
      </c>
      <c r="O109" s="53">
        <f t="shared" si="40"/>
        <v>0</v>
      </c>
      <c r="P109" s="53">
        <f t="shared" si="41"/>
        <v>0</v>
      </c>
      <c r="Q109" s="1"/>
      <c r="R109" s="1"/>
      <c r="S109" s="1"/>
      <c r="T109" s="1"/>
      <c r="U109" s="1"/>
    </row>
    <row r="110" spans="1:21">
      <c r="B110" t="str">
        <f t="shared" si="36"/>
        <v/>
      </c>
      <c r="C110" s="49">
        <f>IF(D94="","-",+C109+1)</f>
        <v>2021</v>
      </c>
      <c r="D110" s="371">
        <v>8599395.0843974371</v>
      </c>
      <c r="E110" s="373">
        <v>441529.28</v>
      </c>
      <c r="F110" s="375">
        <v>8157865.8043974368</v>
      </c>
      <c r="G110" s="375">
        <v>8378630.4443974365</v>
      </c>
      <c r="H110" s="373">
        <v>1429889.3945469856</v>
      </c>
      <c r="I110" s="374">
        <v>1429889.3945469856</v>
      </c>
      <c r="J110" s="53">
        <f t="shared" si="43"/>
        <v>0</v>
      </c>
      <c r="K110" s="53"/>
      <c r="L110" s="419">
        <f t="shared" si="44"/>
        <v>1429889.3945469856</v>
      </c>
      <c r="M110" s="53">
        <f t="shared" ref="M110" si="49">IF(L110&lt;&gt;0,+H110-L110,0)</f>
        <v>0</v>
      </c>
      <c r="N110" s="376">
        <f t="shared" si="45"/>
        <v>1429889.3945469856</v>
      </c>
      <c r="O110" s="53">
        <f t="shared" si="40"/>
        <v>0</v>
      </c>
      <c r="P110" s="53">
        <f t="shared" si="41"/>
        <v>0</v>
      </c>
      <c r="Q110" s="1"/>
      <c r="R110" s="1"/>
      <c r="S110" s="1"/>
      <c r="T110" s="1"/>
      <c r="U110" s="1"/>
    </row>
    <row r="111" spans="1:21">
      <c r="B111" t="str">
        <f t="shared" si="36"/>
        <v>IU</v>
      </c>
      <c r="C111" s="49">
        <f>IF(D94="","-",+C110+1)</f>
        <v>2022</v>
      </c>
      <c r="D111" s="371">
        <v>8862433.8043974377</v>
      </c>
      <c r="E111" s="373">
        <v>559180.95238095243</v>
      </c>
      <c r="F111" s="375">
        <v>8303252.8520164853</v>
      </c>
      <c r="G111" s="375">
        <v>8582843.328206962</v>
      </c>
      <c r="H111" s="373">
        <v>1545916.2557497574</v>
      </c>
      <c r="I111" s="374">
        <v>1545916.2557497574</v>
      </c>
      <c r="J111" s="53">
        <f t="shared" si="43"/>
        <v>0</v>
      </c>
      <c r="K111" s="53"/>
      <c r="L111" s="419">
        <f t="shared" si="44"/>
        <v>1545916.2557497574</v>
      </c>
      <c r="M111" s="53">
        <f t="shared" ref="M111" si="50">IF(L111&lt;&gt;0,+H111-L111,0)</f>
        <v>0</v>
      </c>
      <c r="N111" s="376">
        <f t="shared" si="45"/>
        <v>1545916.2557497574</v>
      </c>
      <c r="O111" s="53">
        <f t="shared" ref="O111" si="51">IF(N111&lt;&gt;0,+I111-N111,0)</f>
        <v>0</v>
      </c>
      <c r="P111" s="53">
        <f t="shared" ref="P111" si="52">+O111-M111</f>
        <v>0</v>
      </c>
      <c r="Q111" s="1"/>
      <c r="R111" s="1"/>
      <c r="S111" s="1"/>
      <c r="T111" s="1"/>
      <c r="U111" s="1"/>
    </row>
    <row r="112" spans="1:21">
      <c r="B112" t="str">
        <f t="shared" si="36"/>
        <v>IU</v>
      </c>
      <c r="C112" s="49">
        <f>IF(D94="","-",+C111+1)</f>
        <v>2023</v>
      </c>
      <c r="D112" s="371">
        <v>7598684.8520164844</v>
      </c>
      <c r="E112" s="373">
        <v>580959.57894736843</v>
      </c>
      <c r="F112" s="375">
        <v>7017725.2730691163</v>
      </c>
      <c r="G112" s="375">
        <v>7308205.0625427999</v>
      </c>
      <c r="H112" s="373">
        <v>1382188.503498273</v>
      </c>
      <c r="I112" s="374">
        <v>1382188.503498273</v>
      </c>
      <c r="J112" s="53">
        <f t="shared" si="43"/>
        <v>0</v>
      </c>
      <c r="K112" s="53"/>
      <c r="L112" s="419">
        <f t="shared" ref="L112" si="53">H112</f>
        <v>1382188.503498273</v>
      </c>
      <c r="M112" s="53">
        <f t="shared" ref="M112" si="54">IF(L112&lt;&gt;0,+H112-L112,0)</f>
        <v>0</v>
      </c>
      <c r="N112" s="376">
        <f t="shared" ref="N112" si="55">I112</f>
        <v>1382188.503498273</v>
      </c>
      <c r="O112" s="53">
        <f t="shared" ref="O112" si="56">IF(N112&lt;&gt;0,+I112-N112,0)</f>
        <v>0</v>
      </c>
      <c r="P112" s="53">
        <f t="shared" ref="P112" si="57">+O112-M112</f>
        <v>0</v>
      </c>
      <c r="Q112" s="1"/>
      <c r="R112" s="1"/>
      <c r="S112" s="1"/>
      <c r="T112" s="1"/>
      <c r="U112" s="1"/>
    </row>
    <row r="113" spans="2:21">
      <c r="B113" t="str">
        <f t="shared" si="36"/>
        <v/>
      </c>
      <c r="C113" s="49">
        <f>IF(D94="","-",+C112+1)</f>
        <v>2024</v>
      </c>
      <c r="D113" s="371">
        <v>7017725.2730691163</v>
      </c>
      <c r="E113" s="373">
        <v>649307.76470588241</v>
      </c>
      <c r="F113" s="375">
        <v>6368417.5083632339</v>
      </c>
      <c r="G113" s="375">
        <v>6693071.3907161746</v>
      </c>
      <c r="H113" s="373">
        <v>1390399.4676075464</v>
      </c>
      <c r="I113" s="374">
        <v>1390399.4676075464</v>
      </c>
      <c r="J113" s="53">
        <f t="shared" si="43"/>
        <v>0</v>
      </c>
      <c r="K113" s="53"/>
      <c r="L113" s="419">
        <f t="shared" ref="L113" si="58">H113</f>
        <v>1390399.4676075464</v>
      </c>
      <c r="M113" s="53">
        <f t="shared" ref="M113" si="59">IF(L113&lt;&gt;0,+H113-L113,0)</f>
        <v>0</v>
      </c>
      <c r="N113" s="376">
        <f t="shared" ref="N113" si="60">I113</f>
        <v>1390399.4676075464</v>
      </c>
      <c r="O113" s="53">
        <f t="shared" ref="O113" si="61">IF(N113&lt;&gt;0,+I113-N113,0)</f>
        <v>0</v>
      </c>
      <c r="P113" s="53">
        <f t="shared" ref="P113" si="62">+O113-M113</f>
        <v>0</v>
      </c>
      <c r="Q113" s="1"/>
      <c r="R113" s="1"/>
      <c r="S113" s="1"/>
      <c r="T113" s="1"/>
      <c r="U113" s="1"/>
    </row>
    <row r="114" spans="2:21">
      <c r="B114" t="str">
        <f t="shared" si="36"/>
        <v/>
      </c>
      <c r="C114" s="49">
        <f>IF(D94="","-",+C113+1)</f>
        <v>2025</v>
      </c>
      <c r="D114" s="11">
        <f>IF(F113+SUM(E$100:E113)=D$93,F113,D$93-SUM(E$100:E113))</f>
        <v>6368417.5083632339</v>
      </c>
      <c r="E114" s="377">
        <f>IF(+J97&lt;F113,J97,D114)</f>
        <v>344944.75</v>
      </c>
      <c r="F114" s="54">
        <f t="shared" ref="F114:F132" si="63">+D114-E114</f>
        <v>6023472.7583632339</v>
      </c>
      <c r="G114" s="54">
        <f t="shared" ref="G114:G131" si="64">+(F114+D114)/2</f>
        <v>6195945.1333632339</v>
      </c>
      <c r="H114" s="459">
        <f t="shared" ref="H114:H155" si="65">(D114+F114)/2*J$95+E114</f>
        <v>1041771.4753733322</v>
      </c>
      <c r="I114" s="407">
        <f t="shared" ref="I114:I131" si="66">+J$96*G114+E114</f>
        <v>1041771.4753733322</v>
      </c>
      <c r="J114" s="53">
        <f t="shared" si="43"/>
        <v>0</v>
      </c>
      <c r="K114" s="53"/>
      <c r="L114" s="112"/>
      <c r="M114" s="53">
        <f t="shared" si="38"/>
        <v>0</v>
      </c>
      <c r="N114" s="112"/>
      <c r="O114" s="53">
        <f t="shared" si="40"/>
        <v>0</v>
      </c>
      <c r="P114" s="53">
        <f t="shared" si="41"/>
        <v>0</v>
      </c>
      <c r="Q114" s="1"/>
      <c r="R114" s="1"/>
      <c r="S114" s="1"/>
      <c r="T114" s="1"/>
      <c r="U114" s="1"/>
    </row>
    <row r="115" spans="2:21">
      <c r="B115" t="str">
        <f t="shared" si="36"/>
        <v/>
      </c>
      <c r="C115" s="49">
        <f>IF(D94="","-",+C114+1)</f>
        <v>2026</v>
      </c>
      <c r="D115" s="11">
        <f>IF(F114+SUM(E$100:E114)=D$93,F114,D$93-SUM(E$100:E114))</f>
        <v>6023472.7583632339</v>
      </c>
      <c r="E115" s="377">
        <f>IF(+J97&lt;F114,J97,D115)</f>
        <v>344944.75</v>
      </c>
      <c r="F115" s="54">
        <f t="shared" si="63"/>
        <v>5678528.0083632339</v>
      </c>
      <c r="G115" s="54">
        <f t="shared" si="64"/>
        <v>5851000.3833632339</v>
      </c>
      <c r="H115" s="459">
        <f t="shared" si="65"/>
        <v>1002977.2776515152</v>
      </c>
      <c r="I115" s="407">
        <f t="shared" si="66"/>
        <v>1002977.2776515152</v>
      </c>
      <c r="J115" s="53">
        <f t="shared" si="43"/>
        <v>0</v>
      </c>
      <c r="K115" s="53"/>
      <c r="L115" s="112"/>
      <c r="M115" s="53">
        <f t="shared" si="38"/>
        <v>0</v>
      </c>
      <c r="N115" s="112"/>
      <c r="O115" s="53">
        <f t="shared" si="40"/>
        <v>0</v>
      </c>
      <c r="P115" s="53">
        <f t="shared" si="41"/>
        <v>0</v>
      </c>
      <c r="Q115" s="1"/>
      <c r="R115" s="1"/>
      <c r="S115" s="1"/>
      <c r="T115" s="1"/>
      <c r="U115" s="1"/>
    </row>
    <row r="116" spans="2:21">
      <c r="B116" t="str">
        <f t="shared" si="36"/>
        <v/>
      </c>
      <c r="C116" s="49">
        <f>IF(D94="","-",+C115+1)</f>
        <v>2027</v>
      </c>
      <c r="D116" s="11">
        <f>IF(F115+SUM(E$100:E115)=D$93,F115,D$93-SUM(E$100:E115))</f>
        <v>5678528.0083632339</v>
      </c>
      <c r="E116" s="377">
        <f>IF(+J97&lt;F115,J97,D116)</f>
        <v>344944.75</v>
      </c>
      <c r="F116" s="54">
        <f t="shared" si="63"/>
        <v>5333583.2583632339</v>
      </c>
      <c r="G116" s="54">
        <f t="shared" si="64"/>
        <v>5506055.6333632339</v>
      </c>
      <c r="H116" s="459">
        <f t="shared" si="65"/>
        <v>964183.07992969838</v>
      </c>
      <c r="I116" s="407">
        <f t="shared" si="66"/>
        <v>964183.07992969838</v>
      </c>
      <c r="J116" s="53">
        <f t="shared" si="43"/>
        <v>0</v>
      </c>
      <c r="K116" s="53"/>
      <c r="L116" s="112"/>
      <c r="M116" s="53">
        <f t="shared" si="38"/>
        <v>0</v>
      </c>
      <c r="N116" s="112"/>
      <c r="O116" s="53">
        <f t="shared" si="40"/>
        <v>0</v>
      </c>
      <c r="P116" s="53">
        <f t="shared" si="41"/>
        <v>0</v>
      </c>
      <c r="Q116" s="1"/>
      <c r="R116" s="1"/>
      <c r="S116" s="1"/>
      <c r="T116" s="1"/>
      <c r="U116" s="1"/>
    </row>
    <row r="117" spans="2:21">
      <c r="B117" t="str">
        <f t="shared" si="36"/>
        <v/>
      </c>
      <c r="C117" s="49">
        <f>IF(D94="","-",+C116+1)</f>
        <v>2028</v>
      </c>
      <c r="D117" s="11">
        <f>IF(F116+SUM(E$100:E116)=D$93,F116,D$93-SUM(E$100:E116))</f>
        <v>5333583.2583632339</v>
      </c>
      <c r="E117" s="377">
        <f>IF(+J97&lt;F116,J97,D117)</f>
        <v>344944.75</v>
      </c>
      <c r="F117" s="54">
        <f t="shared" si="63"/>
        <v>4988638.5083632339</v>
      </c>
      <c r="G117" s="54">
        <f t="shared" si="64"/>
        <v>5161110.8833632339</v>
      </c>
      <c r="H117" s="459">
        <f t="shared" si="65"/>
        <v>925388.88220788143</v>
      </c>
      <c r="I117" s="407">
        <f t="shared" si="66"/>
        <v>925388.88220788143</v>
      </c>
      <c r="J117" s="53">
        <f t="shared" si="43"/>
        <v>0</v>
      </c>
      <c r="K117" s="53"/>
      <c r="L117" s="112"/>
      <c r="M117" s="53">
        <f t="shared" si="38"/>
        <v>0</v>
      </c>
      <c r="N117" s="112"/>
      <c r="O117" s="53">
        <f t="shared" si="40"/>
        <v>0</v>
      </c>
      <c r="P117" s="53">
        <f t="shared" si="41"/>
        <v>0</v>
      </c>
      <c r="Q117" s="1"/>
      <c r="R117" s="1"/>
      <c r="S117" s="1"/>
      <c r="T117" s="1"/>
      <c r="U117" s="1"/>
    </row>
    <row r="118" spans="2:21">
      <c r="B118" t="str">
        <f t="shared" si="36"/>
        <v/>
      </c>
      <c r="C118" s="49">
        <f>IF(D94="","-",+C117+1)</f>
        <v>2029</v>
      </c>
      <c r="D118" s="11">
        <f>IF(F117+SUM(E$100:E117)=D$93,F117,D$93-SUM(E$100:E117))</f>
        <v>4988638.5083632339</v>
      </c>
      <c r="E118" s="377">
        <f>IF(+J97&lt;F117,J97,D118)</f>
        <v>344944.75</v>
      </c>
      <c r="F118" s="54">
        <f t="shared" si="63"/>
        <v>4643693.7583632339</v>
      </c>
      <c r="G118" s="54">
        <f t="shared" si="64"/>
        <v>4816166.1333632339</v>
      </c>
      <c r="H118" s="459">
        <f t="shared" si="65"/>
        <v>886594.68448606448</v>
      </c>
      <c r="I118" s="407">
        <f t="shared" si="66"/>
        <v>886594.68448606448</v>
      </c>
      <c r="J118" s="53">
        <f t="shared" si="43"/>
        <v>0</v>
      </c>
      <c r="K118" s="53"/>
      <c r="L118" s="112"/>
      <c r="M118" s="53">
        <f t="shared" si="38"/>
        <v>0</v>
      </c>
      <c r="N118" s="112"/>
      <c r="O118" s="53">
        <f t="shared" si="40"/>
        <v>0</v>
      </c>
      <c r="P118" s="53">
        <f t="shared" si="41"/>
        <v>0</v>
      </c>
      <c r="Q118" s="1"/>
      <c r="R118" s="1"/>
      <c r="S118" s="1"/>
      <c r="T118" s="1"/>
      <c r="U118" s="1"/>
    </row>
    <row r="119" spans="2:21">
      <c r="B119" t="str">
        <f t="shared" si="36"/>
        <v/>
      </c>
      <c r="C119" s="49">
        <f>IF(D94="","-",+C118+1)</f>
        <v>2030</v>
      </c>
      <c r="D119" s="11">
        <f>IF(F118+SUM(E$100:E118)=D$93,F118,D$93-SUM(E$100:E118))</f>
        <v>4643693.7583632339</v>
      </c>
      <c r="E119" s="377">
        <f>IF(+J97&lt;F118,J97,D119)</f>
        <v>344944.75</v>
      </c>
      <c r="F119" s="54">
        <f t="shared" si="63"/>
        <v>4298749.0083632339</v>
      </c>
      <c r="G119" s="54">
        <f t="shared" si="64"/>
        <v>4471221.3833632339</v>
      </c>
      <c r="H119" s="459">
        <f t="shared" si="65"/>
        <v>847800.48676424753</v>
      </c>
      <c r="I119" s="407">
        <f t="shared" si="66"/>
        <v>847800.48676424753</v>
      </c>
      <c r="J119" s="53">
        <f t="shared" si="43"/>
        <v>0</v>
      </c>
      <c r="K119" s="53"/>
      <c r="L119" s="112"/>
      <c r="M119" s="53">
        <f t="shared" si="38"/>
        <v>0</v>
      </c>
      <c r="N119" s="112"/>
      <c r="O119" s="53">
        <f t="shared" si="40"/>
        <v>0</v>
      </c>
      <c r="P119" s="53">
        <f t="shared" si="41"/>
        <v>0</v>
      </c>
      <c r="Q119" s="1"/>
      <c r="R119" s="1"/>
      <c r="S119" s="1"/>
      <c r="T119" s="1"/>
      <c r="U119" s="1"/>
    </row>
    <row r="120" spans="2:21">
      <c r="B120" t="str">
        <f t="shared" si="36"/>
        <v/>
      </c>
      <c r="C120" s="49">
        <f>IF(D94="","-",+C119+1)</f>
        <v>2031</v>
      </c>
      <c r="D120" s="11">
        <f>IF(F119+SUM(E$100:E119)=D$93,F119,D$93-SUM(E$100:E119))</f>
        <v>4298749.0083632339</v>
      </c>
      <c r="E120" s="377">
        <f>IF(+J97&lt;F119,J97,D120)</f>
        <v>344944.75</v>
      </c>
      <c r="F120" s="54">
        <f t="shared" si="63"/>
        <v>3953804.2583632339</v>
      </c>
      <c r="G120" s="54">
        <f t="shared" si="64"/>
        <v>4126276.6333632339</v>
      </c>
      <c r="H120" s="459">
        <f t="shared" si="65"/>
        <v>809006.28904243058</v>
      </c>
      <c r="I120" s="407">
        <f t="shared" si="66"/>
        <v>809006.28904243058</v>
      </c>
      <c r="J120" s="53">
        <f t="shared" si="43"/>
        <v>0</v>
      </c>
      <c r="K120" s="53"/>
      <c r="L120" s="112"/>
      <c r="M120" s="53">
        <f t="shared" si="38"/>
        <v>0</v>
      </c>
      <c r="N120" s="112"/>
      <c r="O120" s="53">
        <f t="shared" si="40"/>
        <v>0</v>
      </c>
      <c r="P120" s="53">
        <f t="shared" si="41"/>
        <v>0</v>
      </c>
      <c r="Q120" s="1"/>
      <c r="R120" s="1"/>
      <c r="S120" s="1"/>
      <c r="T120" s="1"/>
      <c r="U120" s="1"/>
    </row>
    <row r="121" spans="2:21">
      <c r="B121" t="str">
        <f t="shared" si="36"/>
        <v/>
      </c>
      <c r="C121" s="49">
        <f>IF(D94="","-",+C120+1)</f>
        <v>2032</v>
      </c>
      <c r="D121" s="11">
        <f>IF(F120+SUM(E$100:E120)=D$93,F120,D$93-SUM(E$100:E120))</f>
        <v>3953804.2583632339</v>
      </c>
      <c r="E121" s="377">
        <f>IF(+J97&lt;F120,J97,D121)</f>
        <v>344944.75</v>
      </c>
      <c r="F121" s="54">
        <f t="shared" si="63"/>
        <v>3608859.5083632339</v>
      </c>
      <c r="G121" s="54">
        <f t="shared" si="64"/>
        <v>3781331.8833632339</v>
      </c>
      <c r="H121" s="459">
        <f t="shared" si="65"/>
        <v>770212.09132061363</v>
      </c>
      <c r="I121" s="407">
        <f t="shared" si="66"/>
        <v>770212.09132061363</v>
      </c>
      <c r="J121" s="53">
        <f t="shared" si="43"/>
        <v>0</v>
      </c>
      <c r="K121" s="53"/>
      <c r="L121" s="112"/>
      <c r="M121" s="53">
        <f t="shared" si="38"/>
        <v>0</v>
      </c>
      <c r="N121" s="112"/>
      <c r="O121" s="53">
        <f t="shared" si="40"/>
        <v>0</v>
      </c>
      <c r="P121" s="53">
        <f t="shared" si="41"/>
        <v>0</v>
      </c>
      <c r="Q121" s="1"/>
      <c r="R121" s="1"/>
      <c r="S121" s="1"/>
      <c r="T121" s="1"/>
      <c r="U121" s="1"/>
    </row>
    <row r="122" spans="2:21">
      <c r="B122" t="str">
        <f t="shared" si="36"/>
        <v/>
      </c>
      <c r="C122" s="49">
        <f>IF(D94="","-",+C121+1)</f>
        <v>2033</v>
      </c>
      <c r="D122" s="11">
        <f>IF(F121+SUM(E$100:E121)=D$93,F121,D$93-SUM(E$100:E121))</f>
        <v>3608859.5083632339</v>
      </c>
      <c r="E122" s="377">
        <f>IF(+J97&lt;F121,J97,D122)</f>
        <v>344944.75</v>
      </c>
      <c r="F122" s="54">
        <f t="shared" si="63"/>
        <v>3263914.7583632339</v>
      </c>
      <c r="G122" s="54">
        <f t="shared" si="64"/>
        <v>3436387.1333632339</v>
      </c>
      <c r="H122" s="459">
        <f t="shared" si="65"/>
        <v>731417.89359879668</v>
      </c>
      <c r="I122" s="407">
        <f t="shared" si="66"/>
        <v>731417.89359879668</v>
      </c>
      <c r="J122" s="53">
        <f t="shared" si="43"/>
        <v>0</v>
      </c>
      <c r="K122" s="53"/>
      <c r="L122" s="112"/>
      <c r="M122" s="53">
        <f t="shared" si="38"/>
        <v>0</v>
      </c>
      <c r="N122" s="112"/>
      <c r="O122" s="53">
        <f t="shared" si="40"/>
        <v>0</v>
      </c>
      <c r="P122" s="53">
        <f t="shared" si="41"/>
        <v>0</v>
      </c>
      <c r="Q122" s="1"/>
      <c r="R122" s="1"/>
      <c r="S122" s="1"/>
      <c r="T122" s="1"/>
      <c r="U122" s="1"/>
    </row>
    <row r="123" spans="2:21">
      <c r="B123" t="str">
        <f t="shared" si="36"/>
        <v/>
      </c>
      <c r="C123" s="49">
        <f>IF(D94="","-",+C122+1)</f>
        <v>2034</v>
      </c>
      <c r="D123" s="11">
        <f>IF(F122+SUM(E$100:E122)=D$93,F122,D$93-SUM(E$100:E122))</f>
        <v>3263914.7583632339</v>
      </c>
      <c r="E123" s="377">
        <f>IF(+J97&lt;F122,J97,D123)</f>
        <v>344944.75</v>
      </c>
      <c r="F123" s="54">
        <f t="shared" si="63"/>
        <v>2918970.0083632339</v>
      </c>
      <c r="G123" s="54">
        <f t="shared" si="64"/>
        <v>3091442.3833632339</v>
      </c>
      <c r="H123" s="459">
        <f t="shared" si="65"/>
        <v>692623.69587697973</v>
      </c>
      <c r="I123" s="407">
        <f t="shared" si="66"/>
        <v>692623.69587697973</v>
      </c>
      <c r="J123" s="53">
        <f t="shared" si="43"/>
        <v>0</v>
      </c>
      <c r="K123" s="53"/>
      <c r="L123" s="112"/>
      <c r="M123" s="53">
        <f t="shared" si="38"/>
        <v>0</v>
      </c>
      <c r="N123" s="112"/>
      <c r="O123" s="53">
        <f t="shared" si="40"/>
        <v>0</v>
      </c>
      <c r="P123" s="53">
        <f t="shared" si="41"/>
        <v>0</v>
      </c>
      <c r="Q123" s="1"/>
      <c r="R123" s="1"/>
      <c r="S123" s="1"/>
      <c r="T123" s="1"/>
      <c r="U123" s="1"/>
    </row>
    <row r="124" spans="2:21">
      <c r="B124" t="str">
        <f t="shared" si="36"/>
        <v/>
      </c>
      <c r="C124" s="49">
        <f>IF(D94="","-",+C123+1)</f>
        <v>2035</v>
      </c>
      <c r="D124" s="11">
        <f>IF(F123+SUM(E$100:E123)=D$93,F123,D$93-SUM(E$100:E123))</f>
        <v>2918970.0083632339</v>
      </c>
      <c r="E124" s="377">
        <f>IF(+J97&lt;F123,J97,D124)</f>
        <v>344944.75</v>
      </c>
      <c r="F124" s="54">
        <f t="shared" si="63"/>
        <v>2574025.2583632339</v>
      </c>
      <c r="G124" s="54">
        <f t="shared" si="64"/>
        <v>2746497.6333632339</v>
      </c>
      <c r="H124" s="459">
        <f t="shared" si="65"/>
        <v>653829.49815516279</v>
      </c>
      <c r="I124" s="407">
        <f t="shared" si="66"/>
        <v>653829.49815516279</v>
      </c>
      <c r="J124" s="53">
        <f t="shared" si="43"/>
        <v>0</v>
      </c>
      <c r="K124" s="53"/>
      <c r="L124" s="112"/>
      <c r="M124" s="53">
        <f t="shared" si="38"/>
        <v>0</v>
      </c>
      <c r="N124" s="112"/>
      <c r="O124" s="53">
        <f t="shared" si="40"/>
        <v>0</v>
      </c>
      <c r="P124" s="53">
        <f t="shared" si="41"/>
        <v>0</v>
      </c>
      <c r="Q124" s="1"/>
      <c r="R124" s="1"/>
      <c r="S124" s="1"/>
      <c r="T124" s="1"/>
      <c r="U124" s="1"/>
    </row>
    <row r="125" spans="2:21">
      <c r="B125" t="str">
        <f t="shared" si="36"/>
        <v/>
      </c>
      <c r="C125" s="49">
        <f>IF(D94="","-",+C124+1)</f>
        <v>2036</v>
      </c>
      <c r="D125" s="11">
        <f>IF(F124+SUM(E$100:E124)=D$93,F124,D$93-SUM(E$100:E124))</f>
        <v>2574025.2583632339</v>
      </c>
      <c r="E125" s="377">
        <f>IF(+J97&lt;F124,J97,D125)</f>
        <v>344944.75</v>
      </c>
      <c r="F125" s="54">
        <f t="shared" si="63"/>
        <v>2229080.5083632339</v>
      </c>
      <c r="G125" s="54">
        <f t="shared" si="64"/>
        <v>2401552.8833632339</v>
      </c>
      <c r="H125" s="459">
        <f t="shared" si="65"/>
        <v>615035.30043334584</v>
      </c>
      <c r="I125" s="407">
        <f t="shared" si="66"/>
        <v>615035.30043334584</v>
      </c>
      <c r="J125" s="53">
        <f t="shared" si="43"/>
        <v>0</v>
      </c>
      <c r="K125" s="53"/>
      <c r="L125" s="112"/>
      <c r="M125" s="53">
        <f t="shared" si="38"/>
        <v>0</v>
      </c>
      <c r="N125" s="112"/>
      <c r="O125" s="53">
        <f t="shared" si="40"/>
        <v>0</v>
      </c>
      <c r="P125" s="53">
        <f t="shared" si="41"/>
        <v>0</v>
      </c>
      <c r="Q125" s="1"/>
      <c r="R125" s="1"/>
      <c r="S125" s="1"/>
      <c r="T125" s="1"/>
      <c r="U125" s="1"/>
    </row>
    <row r="126" spans="2:21">
      <c r="B126" t="str">
        <f t="shared" si="36"/>
        <v/>
      </c>
      <c r="C126" s="49">
        <f>IF(D94="","-",+C125+1)</f>
        <v>2037</v>
      </c>
      <c r="D126" s="11">
        <f>IF(F125+SUM(E$100:E125)=D$93,F125,D$93-SUM(E$100:E125))</f>
        <v>2229080.5083632339</v>
      </c>
      <c r="E126" s="377">
        <f>IF(+J97&lt;F125,J97,D126)</f>
        <v>344944.75</v>
      </c>
      <c r="F126" s="54">
        <f t="shared" si="63"/>
        <v>1884135.7583632339</v>
      </c>
      <c r="G126" s="54">
        <f t="shared" si="64"/>
        <v>2056608.1333632339</v>
      </c>
      <c r="H126" s="459">
        <f t="shared" si="65"/>
        <v>576241.10271152889</v>
      </c>
      <c r="I126" s="407">
        <f t="shared" si="66"/>
        <v>576241.10271152889</v>
      </c>
      <c r="J126" s="53">
        <f t="shared" si="43"/>
        <v>0</v>
      </c>
      <c r="K126" s="53"/>
      <c r="L126" s="112"/>
      <c r="M126" s="53">
        <f t="shared" si="38"/>
        <v>0</v>
      </c>
      <c r="N126" s="112"/>
      <c r="O126" s="53">
        <f t="shared" si="40"/>
        <v>0</v>
      </c>
      <c r="P126" s="53">
        <f t="shared" si="41"/>
        <v>0</v>
      </c>
      <c r="Q126" s="1"/>
      <c r="R126" s="1"/>
      <c r="S126" s="1"/>
      <c r="T126" s="1"/>
      <c r="U126" s="1"/>
    </row>
    <row r="127" spans="2:21">
      <c r="B127" t="str">
        <f t="shared" si="36"/>
        <v/>
      </c>
      <c r="C127" s="49">
        <f>IF(D94="","-",+C126+1)</f>
        <v>2038</v>
      </c>
      <c r="D127" s="11">
        <f>IF(F126+SUM(E$100:E126)=D$93,F126,D$93-SUM(E$100:E126))</f>
        <v>1884135.7583632339</v>
      </c>
      <c r="E127" s="377">
        <f>IF(+J97&lt;F126,J97,D127)</f>
        <v>344944.75</v>
      </c>
      <c r="F127" s="54">
        <f t="shared" si="63"/>
        <v>1539191.0083632339</v>
      </c>
      <c r="G127" s="54">
        <f t="shared" si="64"/>
        <v>1711663.3833632339</v>
      </c>
      <c r="H127" s="459">
        <f t="shared" si="65"/>
        <v>537446.90498971194</v>
      </c>
      <c r="I127" s="407">
        <f t="shared" si="66"/>
        <v>537446.90498971194</v>
      </c>
      <c r="J127" s="53">
        <f t="shared" si="43"/>
        <v>0</v>
      </c>
      <c r="K127" s="53"/>
      <c r="L127" s="112"/>
      <c r="M127" s="53">
        <f t="shared" si="38"/>
        <v>0</v>
      </c>
      <c r="N127" s="112"/>
      <c r="O127" s="53">
        <f t="shared" si="40"/>
        <v>0</v>
      </c>
      <c r="P127" s="53">
        <f t="shared" si="41"/>
        <v>0</v>
      </c>
      <c r="Q127" s="1"/>
      <c r="R127" s="1"/>
      <c r="S127" s="1"/>
      <c r="T127" s="1"/>
      <c r="U127" s="1"/>
    </row>
    <row r="128" spans="2:21">
      <c r="B128" t="str">
        <f t="shared" si="36"/>
        <v/>
      </c>
      <c r="C128" s="49">
        <f>IF(D94="","-",+C127+1)</f>
        <v>2039</v>
      </c>
      <c r="D128" s="11">
        <f>IF(F127+SUM(E$100:E127)=D$93,F127,D$93-SUM(E$100:E127))</f>
        <v>1539191.0083632339</v>
      </c>
      <c r="E128" s="377">
        <f>IF(+J97&lt;F127,J97,D128)</f>
        <v>344944.75</v>
      </c>
      <c r="F128" s="54">
        <f t="shared" si="63"/>
        <v>1194246.2583632339</v>
      </c>
      <c r="G128" s="54">
        <f t="shared" si="64"/>
        <v>1366718.6333632339</v>
      </c>
      <c r="H128" s="459">
        <f t="shared" si="65"/>
        <v>498652.70726789499</v>
      </c>
      <c r="I128" s="407">
        <f t="shared" si="66"/>
        <v>498652.70726789499</v>
      </c>
      <c r="J128" s="53">
        <f t="shared" si="43"/>
        <v>0</v>
      </c>
      <c r="K128" s="53"/>
      <c r="L128" s="112"/>
      <c r="M128" s="53">
        <f t="shared" si="38"/>
        <v>0</v>
      </c>
      <c r="N128" s="112"/>
      <c r="O128" s="53">
        <f t="shared" si="40"/>
        <v>0</v>
      </c>
      <c r="P128" s="53">
        <f t="shared" si="41"/>
        <v>0</v>
      </c>
      <c r="Q128" s="1"/>
      <c r="R128" s="1"/>
      <c r="S128" s="1"/>
      <c r="T128" s="1"/>
      <c r="U128" s="1"/>
    </row>
    <row r="129" spans="2:21">
      <c r="B129" t="str">
        <f t="shared" si="36"/>
        <v/>
      </c>
      <c r="C129" s="49">
        <f>IF(D94="","-",+C128+1)</f>
        <v>2040</v>
      </c>
      <c r="D129" s="11">
        <f>IF(F128+SUM(E$100:E128)=D$93,F128,D$93-SUM(E$100:E128))</f>
        <v>1194246.2583632339</v>
      </c>
      <c r="E129" s="377">
        <f>IF(+J97&lt;F128,J97,D129)</f>
        <v>344944.75</v>
      </c>
      <c r="F129" s="54">
        <f t="shared" si="63"/>
        <v>849301.50836323388</v>
      </c>
      <c r="G129" s="54">
        <f t="shared" si="64"/>
        <v>1021773.8833632339</v>
      </c>
      <c r="H129" s="459">
        <f t="shared" si="65"/>
        <v>459858.5095460781</v>
      </c>
      <c r="I129" s="407">
        <f t="shared" si="66"/>
        <v>459858.5095460781</v>
      </c>
      <c r="J129" s="53">
        <f t="shared" si="43"/>
        <v>0</v>
      </c>
      <c r="K129" s="53"/>
      <c r="L129" s="112"/>
      <c r="M129" s="53">
        <f t="shared" si="38"/>
        <v>0</v>
      </c>
      <c r="N129" s="112"/>
      <c r="O129" s="53">
        <f t="shared" si="40"/>
        <v>0</v>
      </c>
      <c r="P129" s="53">
        <f t="shared" si="41"/>
        <v>0</v>
      </c>
      <c r="Q129" s="1"/>
      <c r="R129" s="1"/>
      <c r="S129" s="1"/>
      <c r="T129" s="1"/>
      <c r="U129" s="1"/>
    </row>
    <row r="130" spans="2:21">
      <c r="B130" t="str">
        <f t="shared" si="36"/>
        <v/>
      </c>
      <c r="C130" s="49">
        <f>IF(D94="","-",+C129+1)</f>
        <v>2041</v>
      </c>
      <c r="D130" s="11">
        <f>IF(F129+SUM(E$100:E129)=D$93,F129,D$93-SUM(E$100:E129))</f>
        <v>849301.50836323388</v>
      </c>
      <c r="E130" s="377">
        <f>IF(+J97&lt;F129,J97,D130)</f>
        <v>344944.75</v>
      </c>
      <c r="F130" s="54">
        <f t="shared" si="63"/>
        <v>504356.75836323388</v>
      </c>
      <c r="G130" s="54">
        <f t="shared" si="64"/>
        <v>676829.13336323388</v>
      </c>
      <c r="H130" s="459">
        <f t="shared" si="65"/>
        <v>421064.31182426115</v>
      </c>
      <c r="I130" s="407">
        <f t="shared" si="66"/>
        <v>421064.31182426115</v>
      </c>
      <c r="J130" s="53">
        <f t="shared" si="43"/>
        <v>0</v>
      </c>
      <c r="K130" s="53"/>
      <c r="L130" s="112"/>
      <c r="M130" s="53">
        <f t="shared" si="38"/>
        <v>0</v>
      </c>
      <c r="N130" s="112"/>
      <c r="O130" s="53">
        <f t="shared" si="40"/>
        <v>0</v>
      </c>
      <c r="P130" s="53">
        <f t="shared" si="41"/>
        <v>0</v>
      </c>
      <c r="Q130" s="1"/>
      <c r="R130" s="1"/>
      <c r="S130" s="1"/>
      <c r="T130" s="1"/>
      <c r="U130" s="1"/>
    </row>
    <row r="131" spans="2:21">
      <c r="B131" t="str">
        <f t="shared" si="36"/>
        <v/>
      </c>
      <c r="C131" s="49">
        <f>IF(D94="","-",+C130+1)</f>
        <v>2042</v>
      </c>
      <c r="D131" s="11">
        <f>IF(F130+SUM(E$100:E130)=D$93,F130,D$93-SUM(E$100:E130))</f>
        <v>504356.75836323388</v>
      </c>
      <c r="E131" s="377">
        <f>IF(+J97&lt;F130,J97,D131)</f>
        <v>344944.75</v>
      </c>
      <c r="F131" s="54">
        <f t="shared" si="63"/>
        <v>159412.00836323388</v>
      </c>
      <c r="G131" s="54">
        <f t="shared" si="64"/>
        <v>331884.38336323388</v>
      </c>
      <c r="H131" s="459">
        <f t="shared" si="65"/>
        <v>382270.1141024442</v>
      </c>
      <c r="I131" s="407">
        <f t="shared" si="66"/>
        <v>382270.1141024442</v>
      </c>
      <c r="J131" s="53">
        <f t="shared" si="43"/>
        <v>0</v>
      </c>
      <c r="K131" s="53"/>
      <c r="L131" s="112"/>
      <c r="M131" s="53">
        <f t="shared" si="38"/>
        <v>0</v>
      </c>
      <c r="N131" s="112"/>
      <c r="O131" s="53">
        <f t="shared" si="40"/>
        <v>0</v>
      </c>
      <c r="P131" s="53">
        <f t="shared" si="41"/>
        <v>0</v>
      </c>
      <c r="Q131" s="1"/>
      <c r="R131" s="1"/>
      <c r="S131" s="1"/>
      <c r="T131" s="1"/>
      <c r="U131" s="1"/>
    </row>
    <row r="132" spans="2:21">
      <c r="B132" t="str">
        <f t="shared" ref="B132:B155" si="67">IF(D132=F131,"","IU")</f>
        <v/>
      </c>
      <c r="C132" s="49">
        <f>IF(D94="","-",+C131+1)</f>
        <v>2043</v>
      </c>
      <c r="D132" s="11">
        <f>IF(F131+SUM(E$100:E131)=D$93,F131,D$93-SUM(E$100:E131))</f>
        <v>159412.00836323388</v>
      </c>
      <c r="E132" s="377">
        <f>IF(+J97&lt;F131,J97,D132)</f>
        <v>159412.00836323388</v>
      </c>
      <c r="F132" s="54">
        <f t="shared" si="63"/>
        <v>0</v>
      </c>
      <c r="G132" s="54">
        <f t="shared" ref="G132:G155" si="68">+(F132+D132)/2</f>
        <v>79706.00418161694</v>
      </c>
      <c r="H132" s="459">
        <f t="shared" si="65"/>
        <v>168376.14098400174</v>
      </c>
      <c r="I132" s="407">
        <f t="shared" ref="I132:I155" si="69">+J$96*G132+E132</f>
        <v>168376.14098400174</v>
      </c>
      <c r="J132" s="53">
        <f t="shared" ref="J132:J155" si="70">+I132-H132</f>
        <v>0</v>
      </c>
      <c r="K132" s="53"/>
      <c r="L132" s="112"/>
      <c r="M132" s="53">
        <f t="shared" ref="M132:M155" si="71">IF(L132&lt;&gt;0,+H132-L132,0)</f>
        <v>0</v>
      </c>
      <c r="N132" s="112"/>
      <c r="O132" s="53">
        <f t="shared" ref="O132:O155" si="72">IF(N132&lt;&gt;0,+I132-N132,0)</f>
        <v>0</v>
      </c>
      <c r="P132" s="53">
        <f t="shared" ref="P132:P155" si="73">+O132-M132</f>
        <v>0</v>
      </c>
      <c r="Q132" s="1"/>
      <c r="R132" s="1"/>
      <c r="S132" s="1"/>
      <c r="T132" s="1"/>
      <c r="U132" s="1"/>
    </row>
    <row r="133" spans="2:21">
      <c r="B133" t="str">
        <f t="shared" si="67"/>
        <v/>
      </c>
      <c r="C133" s="49">
        <f>IF(D94="","-",+C132+1)</f>
        <v>2044</v>
      </c>
      <c r="D133" s="11">
        <f>IF(F132+SUM(E$100:E132)=D$93,F132,D$93-SUM(E$100:E132))</f>
        <v>0</v>
      </c>
      <c r="E133" s="377">
        <f>IF(+J97&lt;F132,J97,D133)</f>
        <v>0</v>
      </c>
      <c r="F133" s="54">
        <f t="shared" ref="F133:F155" si="74">+D133-E133</f>
        <v>0</v>
      </c>
      <c r="G133" s="54">
        <f t="shared" si="68"/>
        <v>0</v>
      </c>
      <c r="H133" s="459">
        <f t="shared" si="65"/>
        <v>0</v>
      </c>
      <c r="I133" s="407">
        <f t="shared" si="69"/>
        <v>0</v>
      </c>
      <c r="J133" s="53">
        <f t="shared" si="70"/>
        <v>0</v>
      </c>
      <c r="K133" s="53"/>
      <c r="L133" s="112"/>
      <c r="M133" s="53">
        <f t="shared" si="71"/>
        <v>0</v>
      </c>
      <c r="N133" s="112"/>
      <c r="O133" s="53">
        <f t="shared" si="72"/>
        <v>0</v>
      </c>
      <c r="P133" s="53">
        <f t="shared" si="73"/>
        <v>0</v>
      </c>
      <c r="Q133" s="1"/>
      <c r="R133" s="1"/>
      <c r="S133" s="1"/>
      <c r="T133" s="1"/>
      <c r="U133" s="1"/>
    </row>
    <row r="134" spans="2:21">
      <c r="B134" t="str">
        <f t="shared" si="67"/>
        <v/>
      </c>
      <c r="C134" s="49">
        <f>IF(D94="","-",+C133+1)</f>
        <v>2045</v>
      </c>
      <c r="D134" s="11">
        <f>IF(F133+SUM(E$100:E133)=D$93,F133,D$93-SUM(E$100:E133))</f>
        <v>0</v>
      </c>
      <c r="E134" s="377">
        <f>IF(+J97&lt;F133,J97,D134)</f>
        <v>0</v>
      </c>
      <c r="F134" s="54">
        <f t="shared" si="74"/>
        <v>0</v>
      </c>
      <c r="G134" s="54">
        <f t="shared" si="68"/>
        <v>0</v>
      </c>
      <c r="H134" s="459">
        <f t="shared" si="65"/>
        <v>0</v>
      </c>
      <c r="I134" s="407">
        <f t="shared" si="69"/>
        <v>0</v>
      </c>
      <c r="J134" s="53">
        <f t="shared" si="70"/>
        <v>0</v>
      </c>
      <c r="K134" s="53"/>
      <c r="L134" s="112"/>
      <c r="M134" s="53">
        <f t="shared" si="71"/>
        <v>0</v>
      </c>
      <c r="N134" s="112"/>
      <c r="O134" s="53">
        <f t="shared" si="72"/>
        <v>0</v>
      </c>
      <c r="P134" s="53">
        <f t="shared" si="73"/>
        <v>0</v>
      </c>
      <c r="Q134" s="1"/>
      <c r="R134" s="1"/>
      <c r="S134" s="1"/>
      <c r="T134" s="1"/>
      <c r="U134" s="1"/>
    </row>
    <row r="135" spans="2:21">
      <c r="B135" t="str">
        <f t="shared" si="67"/>
        <v/>
      </c>
      <c r="C135" s="49">
        <f>IF(D94="","-",+C134+1)</f>
        <v>2046</v>
      </c>
      <c r="D135" s="11">
        <f>IF(F134+SUM(E$100:E134)=D$93,F134,D$93-SUM(E$100:E134))</f>
        <v>0</v>
      </c>
      <c r="E135" s="377">
        <f>IF(+J97&lt;F134,J97,D135)</f>
        <v>0</v>
      </c>
      <c r="F135" s="54">
        <f t="shared" si="74"/>
        <v>0</v>
      </c>
      <c r="G135" s="54">
        <f t="shared" si="68"/>
        <v>0</v>
      </c>
      <c r="H135" s="459">
        <f t="shared" si="65"/>
        <v>0</v>
      </c>
      <c r="I135" s="407">
        <f t="shared" si="69"/>
        <v>0</v>
      </c>
      <c r="J135" s="53">
        <f t="shared" si="70"/>
        <v>0</v>
      </c>
      <c r="K135" s="53"/>
      <c r="L135" s="112"/>
      <c r="M135" s="53">
        <f t="shared" si="71"/>
        <v>0</v>
      </c>
      <c r="N135" s="112"/>
      <c r="O135" s="53">
        <f t="shared" si="72"/>
        <v>0</v>
      </c>
      <c r="P135" s="53">
        <f t="shared" si="73"/>
        <v>0</v>
      </c>
      <c r="Q135" s="1"/>
      <c r="R135" s="1"/>
      <c r="S135" s="1"/>
      <c r="T135" s="1"/>
      <c r="U135" s="1"/>
    </row>
    <row r="136" spans="2:21">
      <c r="B136" t="str">
        <f t="shared" si="67"/>
        <v/>
      </c>
      <c r="C136" s="49">
        <f>IF(D94="","-",+C135+1)</f>
        <v>2047</v>
      </c>
      <c r="D136" s="11">
        <f>IF(F135+SUM(E$100:E135)=D$93,F135,D$93-SUM(E$100:E135))</f>
        <v>0</v>
      </c>
      <c r="E136" s="377">
        <f>IF(+J97&lt;F135,J97,D136)</f>
        <v>0</v>
      </c>
      <c r="F136" s="54">
        <f t="shared" si="74"/>
        <v>0</v>
      </c>
      <c r="G136" s="54">
        <f t="shared" si="68"/>
        <v>0</v>
      </c>
      <c r="H136" s="459">
        <f t="shared" si="65"/>
        <v>0</v>
      </c>
      <c r="I136" s="407">
        <f t="shared" si="69"/>
        <v>0</v>
      </c>
      <c r="J136" s="53">
        <f t="shared" si="70"/>
        <v>0</v>
      </c>
      <c r="K136" s="53"/>
      <c r="L136" s="112"/>
      <c r="M136" s="53">
        <f t="shared" si="71"/>
        <v>0</v>
      </c>
      <c r="N136" s="112"/>
      <c r="O136" s="53">
        <f t="shared" si="72"/>
        <v>0</v>
      </c>
      <c r="P136" s="53">
        <f t="shared" si="73"/>
        <v>0</v>
      </c>
      <c r="Q136" s="1"/>
      <c r="R136" s="1"/>
      <c r="S136" s="1"/>
      <c r="T136" s="1"/>
      <c r="U136" s="1"/>
    </row>
    <row r="137" spans="2:21">
      <c r="B137" t="str">
        <f t="shared" si="67"/>
        <v/>
      </c>
      <c r="C137" s="49">
        <f>IF(D94="","-",+C136+1)</f>
        <v>2048</v>
      </c>
      <c r="D137" s="11">
        <f>IF(F136+SUM(E$100:E136)=D$93,F136,D$93-SUM(E$100:E136))</f>
        <v>0</v>
      </c>
      <c r="E137" s="377">
        <f>IF(+J97&lt;F136,J97,D137)</f>
        <v>0</v>
      </c>
      <c r="F137" s="54">
        <f t="shared" si="74"/>
        <v>0</v>
      </c>
      <c r="G137" s="54">
        <f t="shared" si="68"/>
        <v>0</v>
      </c>
      <c r="H137" s="459">
        <f t="shared" si="65"/>
        <v>0</v>
      </c>
      <c r="I137" s="407">
        <f t="shared" si="69"/>
        <v>0</v>
      </c>
      <c r="J137" s="53">
        <f t="shared" si="70"/>
        <v>0</v>
      </c>
      <c r="K137" s="53"/>
      <c r="L137" s="112"/>
      <c r="M137" s="53">
        <f t="shared" si="71"/>
        <v>0</v>
      </c>
      <c r="N137" s="112"/>
      <c r="O137" s="53">
        <f t="shared" si="72"/>
        <v>0</v>
      </c>
      <c r="P137" s="53">
        <f t="shared" si="73"/>
        <v>0</v>
      </c>
      <c r="Q137" s="1"/>
      <c r="R137" s="1"/>
      <c r="S137" s="1"/>
      <c r="T137" s="1"/>
      <c r="U137" s="1"/>
    </row>
    <row r="138" spans="2:21">
      <c r="B138" t="str">
        <f t="shared" si="67"/>
        <v/>
      </c>
      <c r="C138" s="49">
        <f>IF(D94="","-",+C137+1)</f>
        <v>2049</v>
      </c>
      <c r="D138" s="11">
        <f>IF(F137+SUM(E$100:E137)=D$93,F137,D$93-SUM(E$100:E137))</f>
        <v>0</v>
      </c>
      <c r="E138" s="377">
        <f>IF(+J97&lt;F137,J97,D138)</f>
        <v>0</v>
      </c>
      <c r="F138" s="54">
        <f t="shared" si="74"/>
        <v>0</v>
      </c>
      <c r="G138" s="54">
        <f t="shared" si="68"/>
        <v>0</v>
      </c>
      <c r="H138" s="459">
        <f t="shared" si="65"/>
        <v>0</v>
      </c>
      <c r="I138" s="407">
        <f t="shared" si="69"/>
        <v>0</v>
      </c>
      <c r="J138" s="53">
        <f t="shared" si="70"/>
        <v>0</v>
      </c>
      <c r="K138" s="53"/>
      <c r="L138" s="112"/>
      <c r="M138" s="53">
        <f t="shared" si="71"/>
        <v>0</v>
      </c>
      <c r="N138" s="112"/>
      <c r="O138" s="53">
        <f t="shared" si="72"/>
        <v>0</v>
      </c>
      <c r="P138" s="53">
        <f t="shared" si="73"/>
        <v>0</v>
      </c>
      <c r="Q138" s="1"/>
      <c r="R138" s="1"/>
      <c r="S138" s="1"/>
      <c r="T138" s="1"/>
      <c r="U138" s="1"/>
    </row>
    <row r="139" spans="2:21">
      <c r="B139" t="str">
        <f t="shared" si="67"/>
        <v/>
      </c>
      <c r="C139" s="49">
        <f>IF(D94="","-",+C138+1)</f>
        <v>2050</v>
      </c>
      <c r="D139" s="11">
        <f>IF(F138+SUM(E$100:E138)=D$93,F138,D$93-SUM(E$100:E138))</f>
        <v>0</v>
      </c>
      <c r="E139" s="377">
        <f>IF(+J97&lt;F138,J97,D139)</f>
        <v>0</v>
      </c>
      <c r="F139" s="54">
        <f t="shared" si="74"/>
        <v>0</v>
      </c>
      <c r="G139" s="54">
        <f t="shared" si="68"/>
        <v>0</v>
      </c>
      <c r="H139" s="459">
        <f t="shared" si="65"/>
        <v>0</v>
      </c>
      <c r="I139" s="407">
        <f t="shared" si="69"/>
        <v>0</v>
      </c>
      <c r="J139" s="53">
        <f t="shared" si="70"/>
        <v>0</v>
      </c>
      <c r="K139" s="53"/>
      <c r="L139" s="112"/>
      <c r="M139" s="53">
        <f t="shared" si="71"/>
        <v>0</v>
      </c>
      <c r="N139" s="112"/>
      <c r="O139" s="53">
        <f t="shared" si="72"/>
        <v>0</v>
      </c>
      <c r="P139" s="53">
        <f t="shared" si="73"/>
        <v>0</v>
      </c>
      <c r="Q139" s="1"/>
      <c r="R139" s="1"/>
      <c r="S139" s="1"/>
      <c r="T139" s="1"/>
      <c r="U139" s="1"/>
    </row>
    <row r="140" spans="2:21">
      <c r="B140" t="str">
        <f t="shared" si="67"/>
        <v/>
      </c>
      <c r="C140" s="49">
        <f>IF(D94="","-",+C139+1)</f>
        <v>2051</v>
      </c>
      <c r="D140" s="11">
        <f>IF(F139+SUM(E$100:E139)=D$93,F139,D$93-SUM(E$100:E139))</f>
        <v>0</v>
      </c>
      <c r="E140" s="377">
        <f>IF(+J97&lt;F139,J97,D140)</f>
        <v>0</v>
      </c>
      <c r="F140" s="54">
        <f t="shared" si="74"/>
        <v>0</v>
      </c>
      <c r="G140" s="54">
        <f t="shared" si="68"/>
        <v>0</v>
      </c>
      <c r="H140" s="459">
        <f t="shared" si="65"/>
        <v>0</v>
      </c>
      <c r="I140" s="407">
        <f t="shared" si="69"/>
        <v>0</v>
      </c>
      <c r="J140" s="53">
        <f t="shared" si="70"/>
        <v>0</v>
      </c>
      <c r="K140" s="53"/>
      <c r="L140" s="112"/>
      <c r="M140" s="53">
        <f t="shared" si="71"/>
        <v>0</v>
      </c>
      <c r="N140" s="112"/>
      <c r="O140" s="53">
        <f t="shared" si="72"/>
        <v>0</v>
      </c>
      <c r="P140" s="53">
        <f t="shared" si="73"/>
        <v>0</v>
      </c>
      <c r="Q140" s="1"/>
      <c r="R140" s="1"/>
      <c r="S140" s="1"/>
      <c r="T140" s="1"/>
      <c r="U140" s="1"/>
    </row>
    <row r="141" spans="2:21">
      <c r="B141" t="str">
        <f t="shared" si="67"/>
        <v/>
      </c>
      <c r="C141" s="49">
        <f>IF(D94="","-",+C140+1)</f>
        <v>2052</v>
      </c>
      <c r="D141" s="11">
        <f>IF(F140+SUM(E$100:E140)=D$93,F140,D$93-SUM(E$100:E140))</f>
        <v>0</v>
      </c>
      <c r="E141" s="377">
        <f>IF(+J97&lt;F140,J97,D141)</f>
        <v>0</v>
      </c>
      <c r="F141" s="54">
        <f t="shared" si="74"/>
        <v>0</v>
      </c>
      <c r="G141" s="54">
        <f t="shared" si="68"/>
        <v>0</v>
      </c>
      <c r="H141" s="459">
        <f t="shared" si="65"/>
        <v>0</v>
      </c>
      <c r="I141" s="407">
        <f t="shared" si="69"/>
        <v>0</v>
      </c>
      <c r="J141" s="53">
        <f t="shared" si="70"/>
        <v>0</v>
      </c>
      <c r="K141" s="53"/>
      <c r="L141" s="112"/>
      <c r="M141" s="53">
        <f t="shared" si="71"/>
        <v>0</v>
      </c>
      <c r="N141" s="112"/>
      <c r="O141" s="53">
        <f t="shared" si="72"/>
        <v>0</v>
      </c>
      <c r="P141" s="53">
        <f t="shared" si="73"/>
        <v>0</v>
      </c>
      <c r="Q141" s="1"/>
      <c r="R141" s="1"/>
      <c r="S141" s="1"/>
      <c r="T141" s="1"/>
      <c r="U141" s="1"/>
    </row>
    <row r="142" spans="2:21">
      <c r="B142" t="str">
        <f t="shared" si="67"/>
        <v/>
      </c>
      <c r="C142" s="49">
        <f>IF(D94="","-",+C141+1)</f>
        <v>2053</v>
      </c>
      <c r="D142" s="11">
        <f>IF(F141+SUM(E$100:E141)=D$93,F141,D$93-SUM(E$100:E141))</f>
        <v>0</v>
      </c>
      <c r="E142" s="377">
        <f>IF(+J97&lt;F141,J97,D142)</f>
        <v>0</v>
      </c>
      <c r="F142" s="54">
        <f t="shared" si="74"/>
        <v>0</v>
      </c>
      <c r="G142" s="54">
        <f t="shared" si="68"/>
        <v>0</v>
      </c>
      <c r="H142" s="459">
        <f t="shared" si="65"/>
        <v>0</v>
      </c>
      <c r="I142" s="407">
        <f t="shared" si="69"/>
        <v>0</v>
      </c>
      <c r="J142" s="53">
        <f t="shared" si="70"/>
        <v>0</v>
      </c>
      <c r="K142" s="53"/>
      <c r="L142" s="112"/>
      <c r="M142" s="53">
        <f t="shared" si="71"/>
        <v>0</v>
      </c>
      <c r="N142" s="112"/>
      <c r="O142" s="53">
        <f t="shared" si="72"/>
        <v>0</v>
      </c>
      <c r="P142" s="53">
        <f t="shared" si="73"/>
        <v>0</v>
      </c>
      <c r="Q142" s="1"/>
      <c r="R142" s="1"/>
      <c r="S142" s="1"/>
      <c r="T142" s="1"/>
      <c r="U142" s="1"/>
    </row>
    <row r="143" spans="2:21">
      <c r="B143" t="str">
        <f t="shared" si="67"/>
        <v/>
      </c>
      <c r="C143" s="49">
        <f>IF(D94="","-",+C142+1)</f>
        <v>2054</v>
      </c>
      <c r="D143" s="11">
        <f>IF(F142+SUM(E$100:E142)=D$93,F142,D$93-SUM(E$100:E142))</f>
        <v>0</v>
      </c>
      <c r="E143" s="377">
        <f>IF(+J97&lt;F142,J97,D143)</f>
        <v>0</v>
      </c>
      <c r="F143" s="54">
        <f t="shared" si="74"/>
        <v>0</v>
      </c>
      <c r="G143" s="54">
        <f t="shared" si="68"/>
        <v>0</v>
      </c>
      <c r="H143" s="459">
        <f t="shared" si="65"/>
        <v>0</v>
      </c>
      <c r="I143" s="407">
        <f t="shared" si="69"/>
        <v>0</v>
      </c>
      <c r="J143" s="53">
        <f t="shared" si="70"/>
        <v>0</v>
      </c>
      <c r="K143" s="53"/>
      <c r="L143" s="112"/>
      <c r="M143" s="53">
        <f t="shared" si="71"/>
        <v>0</v>
      </c>
      <c r="N143" s="112"/>
      <c r="O143" s="53">
        <f t="shared" si="72"/>
        <v>0</v>
      </c>
      <c r="P143" s="53">
        <f t="shared" si="73"/>
        <v>0</v>
      </c>
      <c r="Q143" s="1"/>
      <c r="R143" s="1"/>
      <c r="S143" s="1"/>
      <c r="T143" s="1"/>
      <c r="U143" s="1"/>
    </row>
    <row r="144" spans="2:21">
      <c r="B144" t="str">
        <f t="shared" si="67"/>
        <v/>
      </c>
      <c r="C144" s="49">
        <f>IF(D94="","-",+C143+1)</f>
        <v>2055</v>
      </c>
      <c r="D144" s="11">
        <f>IF(F143+SUM(E$100:E143)=D$93,F143,D$93-SUM(E$100:E143))</f>
        <v>0</v>
      </c>
      <c r="E144" s="377">
        <f>IF(+J97&lt;F143,J97,D144)</f>
        <v>0</v>
      </c>
      <c r="F144" s="54">
        <f t="shared" si="74"/>
        <v>0</v>
      </c>
      <c r="G144" s="54">
        <f t="shared" si="68"/>
        <v>0</v>
      </c>
      <c r="H144" s="459">
        <f t="shared" si="65"/>
        <v>0</v>
      </c>
      <c r="I144" s="407">
        <f t="shared" si="69"/>
        <v>0</v>
      </c>
      <c r="J144" s="53">
        <f t="shared" si="70"/>
        <v>0</v>
      </c>
      <c r="K144" s="53"/>
      <c r="L144" s="112"/>
      <c r="M144" s="53">
        <f t="shared" si="71"/>
        <v>0</v>
      </c>
      <c r="N144" s="112"/>
      <c r="O144" s="53">
        <f t="shared" si="72"/>
        <v>0</v>
      </c>
      <c r="P144" s="53">
        <f t="shared" si="73"/>
        <v>0</v>
      </c>
      <c r="Q144" s="1"/>
      <c r="R144" s="1"/>
      <c r="S144" s="1"/>
      <c r="T144" s="1"/>
      <c r="U144" s="1"/>
    </row>
    <row r="145" spans="2:21">
      <c r="B145" t="str">
        <f t="shared" si="67"/>
        <v/>
      </c>
      <c r="C145" s="49">
        <f>IF(D94="","-",+C144+1)</f>
        <v>2056</v>
      </c>
      <c r="D145" s="11">
        <f>IF(F144+SUM(E$100:E144)=D$93,F144,D$93-SUM(E$100:E144))</f>
        <v>0</v>
      </c>
      <c r="E145" s="377">
        <f>IF(+J97&lt;F144,J97,D145)</f>
        <v>0</v>
      </c>
      <c r="F145" s="54">
        <f t="shared" si="74"/>
        <v>0</v>
      </c>
      <c r="G145" s="54">
        <f t="shared" si="68"/>
        <v>0</v>
      </c>
      <c r="H145" s="459">
        <f t="shared" si="65"/>
        <v>0</v>
      </c>
      <c r="I145" s="407">
        <f t="shared" si="69"/>
        <v>0</v>
      </c>
      <c r="J145" s="53">
        <f t="shared" si="70"/>
        <v>0</v>
      </c>
      <c r="K145" s="53"/>
      <c r="L145" s="112"/>
      <c r="M145" s="53">
        <f t="shared" si="71"/>
        <v>0</v>
      </c>
      <c r="N145" s="112"/>
      <c r="O145" s="53">
        <f t="shared" si="72"/>
        <v>0</v>
      </c>
      <c r="P145" s="53">
        <f t="shared" si="73"/>
        <v>0</v>
      </c>
      <c r="Q145" s="1"/>
      <c r="R145" s="1"/>
      <c r="S145" s="1"/>
      <c r="T145" s="1"/>
      <c r="U145" s="1"/>
    </row>
    <row r="146" spans="2:21">
      <c r="B146" t="str">
        <f t="shared" si="67"/>
        <v/>
      </c>
      <c r="C146" s="49">
        <f>IF(D94="","-",+C145+1)</f>
        <v>2057</v>
      </c>
      <c r="D146" s="11">
        <f>IF(F145+SUM(E$100:E145)=D$93,F145,D$93-SUM(E$100:E145))</f>
        <v>0</v>
      </c>
      <c r="E146" s="377">
        <f>IF(+J97&lt;F145,J97,D146)</f>
        <v>0</v>
      </c>
      <c r="F146" s="54">
        <f t="shared" si="74"/>
        <v>0</v>
      </c>
      <c r="G146" s="54">
        <f t="shared" si="68"/>
        <v>0</v>
      </c>
      <c r="H146" s="459">
        <f t="shared" si="65"/>
        <v>0</v>
      </c>
      <c r="I146" s="407">
        <f t="shared" si="69"/>
        <v>0</v>
      </c>
      <c r="J146" s="53">
        <f t="shared" si="70"/>
        <v>0</v>
      </c>
      <c r="K146" s="53"/>
      <c r="L146" s="112"/>
      <c r="M146" s="53">
        <f t="shared" si="71"/>
        <v>0</v>
      </c>
      <c r="N146" s="112"/>
      <c r="O146" s="53">
        <f t="shared" si="72"/>
        <v>0</v>
      </c>
      <c r="P146" s="53">
        <f t="shared" si="73"/>
        <v>0</v>
      </c>
      <c r="Q146" s="1"/>
      <c r="R146" s="1"/>
      <c r="S146" s="1"/>
      <c r="T146" s="1"/>
      <c r="U146" s="1"/>
    </row>
    <row r="147" spans="2:21">
      <c r="B147" t="str">
        <f t="shared" si="67"/>
        <v/>
      </c>
      <c r="C147" s="49">
        <f>IF(D94="","-",+C146+1)</f>
        <v>2058</v>
      </c>
      <c r="D147" s="11">
        <f>IF(F146+SUM(E$100:E146)=D$93,F146,D$93-SUM(E$100:E146))</f>
        <v>0</v>
      </c>
      <c r="E147" s="377">
        <f>IF(+J97&lt;F146,J97,D147)</f>
        <v>0</v>
      </c>
      <c r="F147" s="54">
        <f t="shared" si="74"/>
        <v>0</v>
      </c>
      <c r="G147" s="54">
        <f t="shared" si="68"/>
        <v>0</v>
      </c>
      <c r="H147" s="459">
        <f t="shared" si="65"/>
        <v>0</v>
      </c>
      <c r="I147" s="407">
        <f t="shared" si="69"/>
        <v>0</v>
      </c>
      <c r="J147" s="53">
        <f t="shared" si="70"/>
        <v>0</v>
      </c>
      <c r="K147" s="53"/>
      <c r="L147" s="112"/>
      <c r="M147" s="53">
        <f t="shared" si="71"/>
        <v>0</v>
      </c>
      <c r="N147" s="112"/>
      <c r="O147" s="53">
        <f t="shared" si="72"/>
        <v>0</v>
      </c>
      <c r="P147" s="53">
        <f t="shared" si="73"/>
        <v>0</v>
      </c>
      <c r="Q147" s="1"/>
      <c r="R147" s="1"/>
      <c r="S147" s="1"/>
      <c r="T147" s="1"/>
      <c r="U147" s="1"/>
    </row>
    <row r="148" spans="2:21">
      <c r="B148" t="str">
        <f t="shared" si="67"/>
        <v/>
      </c>
      <c r="C148" s="49">
        <f>IF(D94="","-",+C147+1)</f>
        <v>2059</v>
      </c>
      <c r="D148" s="11">
        <f>IF(F147+SUM(E$100:E147)=D$93,F147,D$93-SUM(E$100:E147))</f>
        <v>0</v>
      </c>
      <c r="E148" s="377">
        <f>IF(+J97&lt;F147,J97,D148)</f>
        <v>0</v>
      </c>
      <c r="F148" s="54">
        <f t="shared" si="74"/>
        <v>0</v>
      </c>
      <c r="G148" s="54">
        <f t="shared" si="68"/>
        <v>0</v>
      </c>
      <c r="H148" s="459">
        <f t="shared" si="65"/>
        <v>0</v>
      </c>
      <c r="I148" s="407">
        <f t="shared" si="69"/>
        <v>0</v>
      </c>
      <c r="J148" s="53">
        <f t="shared" si="70"/>
        <v>0</v>
      </c>
      <c r="K148" s="53"/>
      <c r="L148" s="112"/>
      <c r="M148" s="53">
        <f t="shared" si="71"/>
        <v>0</v>
      </c>
      <c r="N148" s="112"/>
      <c r="O148" s="53">
        <f t="shared" si="72"/>
        <v>0</v>
      </c>
      <c r="P148" s="53">
        <f t="shared" si="73"/>
        <v>0</v>
      </c>
      <c r="Q148" s="1"/>
      <c r="R148" s="1"/>
      <c r="S148" s="1"/>
      <c r="T148" s="1"/>
      <c r="U148" s="1"/>
    </row>
    <row r="149" spans="2:21">
      <c r="B149" t="str">
        <f t="shared" si="67"/>
        <v/>
      </c>
      <c r="C149" s="49">
        <f>IF(D94="","-",+C148+1)</f>
        <v>2060</v>
      </c>
      <c r="D149" s="11">
        <f>IF(F148+SUM(E$100:E148)=D$93,F148,D$93-SUM(E$100:E148))</f>
        <v>0</v>
      </c>
      <c r="E149" s="377">
        <f>IF(+J97&lt;F148,J97,D149)</f>
        <v>0</v>
      </c>
      <c r="F149" s="54">
        <f t="shared" si="74"/>
        <v>0</v>
      </c>
      <c r="G149" s="54">
        <f t="shared" si="68"/>
        <v>0</v>
      </c>
      <c r="H149" s="459">
        <f t="shared" si="65"/>
        <v>0</v>
      </c>
      <c r="I149" s="407">
        <f t="shared" si="69"/>
        <v>0</v>
      </c>
      <c r="J149" s="53">
        <f t="shared" si="70"/>
        <v>0</v>
      </c>
      <c r="K149" s="53"/>
      <c r="L149" s="112"/>
      <c r="M149" s="53">
        <f t="shared" si="71"/>
        <v>0</v>
      </c>
      <c r="N149" s="112"/>
      <c r="O149" s="53">
        <f t="shared" si="72"/>
        <v>0</v>
      </c>
      <c r="P149" s="53">
        <f t="shared" si="73"/>
        <v>0</v>
      </c>
      <c r="Q149" s="1"/>
      <c r="R149" s="1"/>
      <c r="S149" s="1"/>
      <c r="T149" s="1"/>
      <c r="U149" s="1"/>
    </row>
    <row r="150" spans="2:21">
      <c r="B150" t="str">
        <f t="shared" si="67"/>
        <v/>
      </c>
      <c r="C150" s="49">
        <f>IF(D94="","-",+C149+1)</f>
        <v>2061</v>
      </c>
      <c r="D150" s="11">
        <f>IF(F149+SUM(E$100:E149)=D$93,F149,D$93-SUM(E$100:E149))</f>
        <v>0</v>
      </c>
      <c r="E150" s="377">
        <f>IF(+J97&lt;F149,J97,D150)</f>
        <v>0</v>
      </c>
      <c r="F150" s="54">
        <f t="shared" si="74"/>
        <v>0</v>
      </c>
      <c r="G150" s="54">
        <f t="shared" si="68"/>
        <v>0</v>
      </c>
      <c r="H150" s="459">
        <f t="shared" si="65"/>
        <v>0</v>
      </c>
      <c r="I150" s="407">
        <f t="shared" si="69"/>
        <v>0</v>
      </c>
      <c r="J150" s="53">
        <f t="shared" si="70"/>
        <v>0</v>
      </c>
      <c r="K150" s="53"/>
      <c r="L150" s="112"/>
      <c r="M150" s="53">
        <f t="shared" si="71"/>
        <v>0</v>
      </c>
      <c r="N150" s="112"/>
      <c r="O150" s="53">
        <f t="shared" si="72"/>
        <v>0</v>
      </c>
      <c r="P150" s="53">
        <f t="shared" si="73"/>
        <v>0</v>
      </c>
      <c r="Q150" s="1"/>
      <c r="R150" s="1"/>
      <c r="S150" s="1"/>
      <c r="T150" s="1"/>
      <c r="U150" s="1"/>
    </row>
    <row r="151" spans="2:21">
      <c r="B151" t="str">
        <f t="shared" si="67"/>
        <v/>
      </c>
      <c r="C151" s="49">
        <f>IF(D94="","-",+C150+1)</f>
        <v>2062</v>
      </c>
      <c r="D151" s="11">
        <f>IF(F150+SUM(E$100:E150)=D$93,F150,D$93-SUM(E$100:E150))</f>
        <v>0</v>
      </c>
      <c r="E151" s="377">
        <f>IF(+J97&lt;F150,J97,D151)</f>
        <v>0</v>
      </c>
      <c r="F151" s="54">
        <f t="shared" si="74"/>
        <v>0</v>
      </c>
      <c r="G151" s="54">
        <f t="shared" si="68"/>
        <v>0</v>
      </c>
      <c r="H151" s="459">
        <f t="shared" si="65"/>
        <v>0</v>
      </c>
      <c r="I151" s="407">
        <f t="shared" si="69"/>
        <v>0</v>
      </c>
      <c r="J151" s="53">
        <f t="shared" si="70"/>
        <v>0</v>
      </c>
      <c r="K151" s="53"/>
      <c r="L151" s="112"/>
      <c r="M151" s="53">
        <f t="shared" si="71"/>
        <v>0</v>
      </c>
      <c r="N151" s="112"/>
      <c r="O151" s="53">
        <f t="shared" si="72"/>
        <v>0</v>
      </c>
      <c r="P151" s="53">
        <f t="shared" si="73"/>
        <v>0</v>
      </c>
      <c r="Q151" s="1"/>
      <c r="R151" s="1"/>
      <c r="S151" s="1"/>
      <c r="T151" s="1"/>
      <c r="U151" s="1"/>
    </row>
    <row r="152" spans="2:21">
      <c r="B152" t="str">
        <f t="shared" si="67"/>
        <v/>
      </c>
      <c r="C152" s="49">
        <f>IF(D94="","-",+C151+1)</f>
        <v>2063</v>
      </c>
      <c r="D152" s="11">
        <f>IF(F151+SUM(E$100:E151)=D$93,F151,D$93-SUM(E$100:E151))</f>
        <v>0</v>
      </c>
      <c r="E152" s="377">
        <f>IF(+J97&lt;F151,J97,D152)</f>
        <v>0</v>
      </c>
      <c r="F152" s="54">
        <f t="shared" si="74"/>
        <v>0</v>
      </c>
      <c r="G152" s="54">
        <f t="shared" si="68"/>
        <v>0</v>
      </c>
      <c r="H152" s="459">
        <f t="shared" si="65"/>
        <v>0</v>
      </c>
      <c r="I152" s="407">
        <f t="shared" si="69"/>
        <v>0</v>
      </c>
      <c r="J152" s="53">
        <f t="shared" si="70"/>
        <v>0</v>
      </c>
      <c r="K152" s="53"/>
      <c r="L152" s="112"/>
      <c r="M152" s="53">
        <f t="shared" si="71"/>
        <v>0</v>
      </c>
      <c r="N152" s="112"/>
      <c r="O152" s="53">
        <f t="shared" si="72"/>
        <v>0</v>
      </c>
      <c r="P152" s="53">
        <f t="shared" si="73"/>
        <v>0</v>
      </c>
      <c r="Q152" s="1"/>
      <c r="R152" s="1"/>
      <c r="S152" s="1"/>
      <c r="T152" s="1"/>
      <c r="U152" s="1"/>
    </row>
    <row r="153" spans="2:21">
      <c r="B153" t="str">
        <f t="shared" si="67"/>
        <v/>
      </c>
      <c r="C153" s="49">
        <f>IF(D94="","-",+C152+1)</f>
        <v>2064</v>
      </c>
      <c r="D153" s="11">
        <f>IF(F152+SUM(E$100:E152)=D$93,F152,D$93-SUM(E$100:E152))</f>
        <v>0</v>
      </c>
      <c r="E153" s="377">
        <f>IF(+J97&lt;F152,J97,D153)</f>
        <v>0</v>
      </c>
      <c r="F153" s="54">
        <f t="shared" si="74"/>
        <v>0</v>
      </c>
      <c r="G153" s="54">
        <f t="shared" si="68"/>
        <v>0</v>
      </c>
      <c r="H153" s="459">
        <f t="shared" si="65"/>
        <v>0</v>
      </c>
      <c r="I153" s="407">
        <f t="shared" si="69"/>
        <v>0</v>
      </c>
      <c r="J153" s="53">
        <f t="shared" si="70"/>
        <v>0</v>
      </c>
      <c r="K153" s="53"/>
      <c r="L153" s="112"/>
      <c r="M153" s="53">
        <f t="shared" si="71"/>
        <v>0</v>
      </c>
      <c r="N153" s="112"/>
      <c r="O153" s="53">
        <f t="shared" si="72"/>
        <v>0</v>
      </c>
      <c r="P153" s="53">
        <f t="shared" si="73"/>
        <v>0</v>
      </c>
      <c r="Q153" s="1"/>
      <c r="R153" s="1"/>
      <c r="S153" s="1"/>
      <c r="T153" s="1"/>
      <c r="U153" s="1"/>
    </row>
    <row r="154" spans="2:21">
      <c r="B154" t="str">
        <f t="shared" si="67"/>
        <v/>
      </c>
      <c r="C154" s="49">
        <f>IF(D94="","-",+C153+1)</f>
        <v>2065</v>
      </c>
      <c r="D154" s="11">
        <f>IF(F153+SUM(E$100:E153)=D$93,F153,D$93-SUM(E$100:E153))</f>
        <v>0</v>
      </c>
      <c r="E154" s="377">
        <f>IF(+J97&lt;F153,J97,D154)</f>
        <v>0</v>
      </c>
      <c r="F154" s="54">
        <f t="shared" si="74"/>
        <v>0</v>
      </c>
      <c r="G154" s="54">
        <f t="shared" si="68"/>
        <v>0</v>
      </c>
      <c r="H154" s="459">
        <f t="shared" si="65"/>
        <v>0</v>
      </c>
      <c r="I154" s="407">
        <f t="shared" si="69"/>
        <v>0</v>
      </c>
      <c r="J154" s="53">
        <f t="shared" si="70"/>
        <v>0</v>
      </c>
      <c r="K154" s="53"/>
      <c r="L154" s="112"/>
      <c r="M154" s="53">
        <f t="shared" si="71"/>
        <v>0</v>
      </c>
      <c r="N154" s="112"/>
      <c r="O154" s="53">
        <f t="shared" si="72"/>
        <v>0</v>
      </c>
      <c r="P154" s="53">
        <f t="shared" si="73"/>
        <v>0</v>
      </c>
      <c r="Q154" s="1"/>
      <c r="R154" s="1"/>
      <c r="S154" s="1"/>
      <c r="T154" s="1"/>
      <c r="U154" s="1"/>
    </row>
    <row r="155" spans="2:21" ht="13.5" thickBot="1">
      <c r="B155" t="str">
        <f t="shared" si="67"/>
        <v/>
      </c>
      <c r="C155" s="58">
        <f>IF(D94="","-",+C154+1)</f>
        <v>2066</v>
      </c>
      <c r="D155" s="59">
        <f>IF(F154+SUM(E$100:E154)=D$93,F154,D$93-SUM(E$100:E154))</f>
        <v>0</v>
      </c>
      <c r="E155" s="389">
        <f>IF(+J97&lt;F154,J97,D155)</f>
        <v>0</v>
      </c>
      <c r="F155" s="59">
        <f t="shared" si="74"/>
        <v>0</v>
      </c>
      <c r="G155" s="59">
        <f t="shared" si="68"/>
        <v>0</v>
      </c>
      <c r="H155" s="459">
        <f t="shared" si="65"/>
        <v>0</v>
      </c>
      <c r="I155" s="408">
        <f t="shared" si="69"/>
        <v>0</v>
      </c>
      <c r="J155" s="63">
        <f t="shared" si="70"/>
        <v>0</v>
      </c>
      <c r="K155" s="53"/>
      <c r="L155" s="113"/>
      <c r="M155" s="63">
        <f t="shared" si="71"/>
        <v>0</v>
      </c>
      <c r="N155" s="113"/>
      <c r="O155" s="63">
        <f t="shared" si="72"/>
        <v>0</v>
      </c>
      <c r="P155" s="63">
        <f t="shared" si="73"/>
        <v>0</v>
      </c>
      <c r="Q155" s="1"/>
      <c r="R155" s="1"/>
      <c r="S155" s="1"/>
      <c r="T155" s="1"/>
      <c r="U155" s="1"/>
    </row>
    <row r="156" spans="2:21">
      <c r="C156" s="11" t="s">
        <v>75</v>
      </c>
      <c r="D156" s="242"/>
      <c r="E156" s="242">
        <f>SUM(E100:E155)</f>
        <v>11038232</v>
      </c>
      <c r="F156" s="242"/>
      <c r="G156" s="242"/>
      <c r="H156" s="242">
        <f>SUM(H100:H155)</f>
        <v>31525051.912563354</v>
      </c>
      <c r="I156" s="242">
        <f>SUM(I100:I155)</f>
        <v>31525051.912563354</v>
      </c>
      <c r="J156" s="242">
        <f>SUM(J100:J155)</f>
        <v>0</v>
      </c>
      <c r="K156" s="242"/>
      <c r="L156" s="242"/>
      <c r="M156" s="242"/>
      <c r="N156" s="242"/>
      <c r="O156" s="242"/>
      <c r="P156" s="1"/>
      <c r="Q156" s="1"/>
      <c r="R156" s="1"/>
      <c r="S156" s="1"/>
      <c r="T156" s="1"/>
      <c r="U156" s="1"/>
    </row>
    <row r="157" spans="2:21">
      <c r="D157" s="2"/>
      <c r="E157" s="1"/>
      <c r="F157" s="1"/>
      <c r="G157" s="1"/>
      <c r="H157" s="1"/>
      <c r="I157" s="260"/>
      <c r="J157" s="260"/>
      <c r="K157" s="242"/>
      <c r="L157" s="260"/>
      <c r="M157" s="260"/>
      <c r="N157" s="260"/>
      <c r="O157" s="260"/>
      <c r="P157" s="1"/>
      <c r="Q157" s="1"/>
      <c r="R157" s="1"/>
      <c r="S157" s="1"/>
      <c r="T157" s="1"/>
      <c r="U157" s="1"/>
    </row>
    <row r="158" spans="2:21">
      <c r="C158" s="83" t="s">
        <v>90</v>
      </c>
      <c r="D158" s="2"/>
      <c r="E158" s="1"/>
      <c r="F158" s="1"/>
      <c r="G158" s="1"/>
      <c r="H158" s="1"/>
      <c r="I158" s="260"/>
      <c r="J158" s="260"/>
      <c r="K158" s="242"/>
      <c r="L158" s="260"/>
      <c r="M158" s="260"/>
      <c r="N158" s="260"/>
      <c r="O158" s="260"/>
      <c r="P158" s="1"/>
      <c r="Q158" s="1"/>
      <c r="R158" s="1"/>
      <c r="S158" s="1"/>
      <c r="T158" s="1"/>
      <c r="U158" s="1"/>
    </row>
    <row r="159" spans="2:21">
      <c r="D159" s="2"/>
      <c r="E159" s="1"/>
      <c r="F159" s="1"/>
      <c r="G159" s="1"/>
      <c r="H159" s="1"/>
      <c r="I159" s="260"/>
      <c r="J159" s="260"/>
      <c r="K159" s="242"/>
      <c r="L159" s="260"/>
      <c r="M159" s="260"/>
      <c r="N159" s="260"/>
      <c r="O159" s="260"/>
      <c r="P159" s="1"/>
      <c r="Q159" s="1"/>
      <c r="R159" s="1"/>
      <c r="S159" s="1"/>
      <c r="T159" s="1"/>
      <c r="U159" s="1"/>
    </row>
    <row r="160" spans="2:21">
      <c r="C160" s="29" t="s">
        <v>96</v>
      </c>
      <c r="D160" s="11"/>
      <c r="E160" s="11"/>
      <c r="F160" s="11"/>
      <c r="G160" s="11"/>
      <c r="H160" s="242"/>
      <c r="I160" s="242"/>
      <c r="J160" s="64"/>
      <c r="K160" s="64"/>
      <c r="L160" s="64"/>
      <c r="M160" s="64"/>
      <c r="N160" s="64"/>
      <c r="O160" s="64"/>
      <c r="P160" s="1"/>
      <c r="Q160" s="1"/>
      <c r="R160" s="1"/>
      <c r="S160" s="1"/>
      <c r="T160" s="1"/>
      <c r="U160" s="1"/>
    </row>
    <row r="161" spans="3:21">
      <c r="C161" s="84" t="s">
        <v>76</v>
      </c>
      <c r="D161" s="11"/>
      <c r="E161" s="11"/>
      <c r="F161" s="11"/>
      <c r="G161" s="11"/>
      <c r="H161" s="242"/>
      <c r="I161" s="242"/>
      <c r="J161" s="64"/>
      <c r="K161" s="64"/>
      <c r="L161" s="64"/>
      <c r="M161" s="64"/>
      <c r="N161" s="64"/>
      <c r="O161" s="64"/>
      <c r="P161" s="1"/>
      <c r="Q161" s="1"/>
      <c r="R161" s="1"/>
      <c r="S161" s="1"/>
      <c r="T161" s="1"/>
      <c r="U161" s="1"/>
    </row>
    <row r="162" spans="3:21">
      <c r="C162" s="84" t="s">
        <v>77</v>
      </c>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phoneticPr fontId="0" type="noConversion"/>
  <conditionalFormatting sqref="C17:C73">
    <cfRule type="cellIs" dxfId="47" priority="1" stopIfTrue="1" operator="equal">
      <formula>$I$10</formula>
    </cfRule>
  </conditionalFormatting>
  <conditionalFormatting sqref="C100:C155">
    <cfRule type="cellIs" dxfId="46"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3">
    <tabColor theme="1"/>
  </sheetPr>
  <dimension ref="A1:U163"/>
  <sheetViews>
    <sheetView zoomScaleNormal="100" zoomScaleSheetLayoutView="90" workbookViewId="0">
      <selection activeCell="D10" sqref="D10"/>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5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t="str">
        <f>"For Calendar Year "&amp;V1-1&amp;" and Projected Year "&amp;V1</f>
        <v xml:space="preserve">For Calendar Year -1 and Projected Year </v>
      </c>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0</v>
      </c>
      <c r="P5" s="1"/>
      <c r="R5" s="1"/>
      <c r="S5" s="1"/>
      <c r="T5" s="1"/>
      <c r="U5" s="1"/>
    </row>
    <row r="6" spans="1:21" ht="15.75">
      <c r="C6" s="6"/>
      <c r="D6" s="2"/>
      <c r="E6" s="1"/>
      <c r="F6" s="1"/>
      <c r="G6" s="1"/>
      <c r="H6" s="351"/>
      <c r="I6" s="351"/>
      <c r="J6" s="352"/>
      <c r="K6" s="22" t="s">
        <v>243</v>
      </c>
      <c r="L6" s="353"/>
      <c r="M6" s="1"/>
      <c r="N6" s="354">
        <f>VLOOKUP(I10,C17:I73,6)</f>
        <v>0</v>
      </c>
      <c r="O6" s="1"/>
      <c r="P6" s="1"/>
      <c r="R6" s="1"/>
      <c r="S6" s="1"/>
      <c r="T6" s="1"/>
      <c r="U6" s="1"/>
    </row>
    <row r="7" spans="1:21" ht="13.5" thickBot="1">
      <c r="C7" s="25" t="s">
        <v>46</v>
      </c>
      <c r="D7" s="96" t="s">
        <v>211</v>
      </c>
      <c r="E7" s="1"/>
      <c r="F7" s="1"/>
      <c r="G7" s="1"/>
      <c r="H7" s="260"/>
      <c r="I7" s="260"/>
      <c r="J7" s="242"/>
      <c r="K7" s="355" t="s">
        <v>47</v>
      </c>
      <c r="L7" s="356"/>
      <c r="M7" s="356"/>
      <c r="N7" s="357">
        <f>+N6-N5</f>
        <v>0</v>
      </c>
      <c r="O7" s="1"/>
      <c r="P7" s="1"/>
      <c r="R7" s="1"/>
      <c r="S7" s="1"/>
      <c r="T7" s="1"/>
      <c r="U7" s="1"/>
    </row>
    <row r="8" spans="1:21" ht="13.5" thickBot="1">
      <c r="C8" s="29"/>
      <c r="D8" s="97" t="s">
        <v>209</v>
      </c>
      <c r="E8" s="10"/>
      <c r="F8" s="10"/>
      <c r="G8" s="10"/>
      <c r="H8" s="10"/>
      <c r="I8" s="10"/>
      <c r="J8" s="10"/>
      <c r="K8" s="10"/>
      <c r="L8" s="10"/>
      <c r="M8" s="10"/>
      <c r="N8" s="10"/>
      <c r="O8" s="10"/>
      <c r="P8" s="1"/>
      <c r="R8" s="1"/>
      <c r="S8" s="1"/>
      <c r="T8" s="1"/>
      <c r="U8" s="1"/>
    </row>
    <row r="9" spans="1:21" ht="13.5" thickBot="1">
      <c r="C9" s="30" t="s">
        <v>48</v>
      </c>
      <c r="D9" s="89" t="s">
        <v>204</v>
      </c>
      <c r="E9" s="31" t="s">
        <v>310</v>
      </c>
      <c r="F9" s="526">
        <v>288</v>
      </c>
      <c r="G9" s="31"/>
      <c r="H9" s="31"/>
      <c r="I9" s="32"/>
      <c r="J9" s="33"/>
      <c r="P9" s="1"/>
      <c r="R9" s="1"/>
      <c r="S9" s="1"/>
      <c r="T9" s="1"/>
      <c r="U9" s="1"/>
    </row>
    <row r="10" spans="1:21">
      <c r="C10" s="34" t="s">
        <v>49</v>
      </c>
      <c r="D10" s="532">
        <v>0</v>
      </c>
      <c r="E10" s="1" t="s">
        <v>50</v>
      </c>
      <c r="G10" s="2"/>
      <c r="H10" s="2"/>
      <c r="I10" s="36">
        <f>+'OKT.WS.F.BPU.ATRR.Projected'!R100</f>
        <v>2025</v>
      </c>
      <c r="J10" s="33"/>
      <c r="K10" s="242" t="s">
        <v>51</v>
      </c>
      <c r="O10" s="1"/>
      <c r="P10" s="1"/>
      <c r="R10" s="1"/>
      <c r="S10" s="1"/>
      <c r="T10" s="1"/>
      <c r="U10" s="1"/>
    </row>
    <row r="11" spans="1:21">
      <c r="C11" s="34" t="s">
        <v>52</v>
      </c>
      <c r="D11" s="37">
        <v>2012</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4</v>
      </c>
      <c r="E12" s="34" t="s">
        <v>55</v>
      </c>
      <c r="F12" s="2"/>
      <c r="I12" s="40">
        <f>'OKT.WS.F.BPU.ATRR.Projected'!$F$78</f>
        <v>0.11444992740144029</v>
      </c>
      <c r="J12" s="11"/>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0</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49" si="0">IF(D17=F16,"","IU")</f>
        <v>IU</v>
      </c>
      <c r="C17" s="49">
        <f>IF(D11= "","-",D11)</f>
        <v>2012</v>
      </c>
      <c r="D17" s="371">
        <v>3951600</v>
      </c>
      <c r="E17" s="372">
        <v>45573.039110189922</v>
      </c>
      <c r="F17" s="371">
        <v>3906026.9608898102</v>
      </c>
      <c r="G17" s="373">
        <v>423078.95453720703</v>
      </c>
      <c r="H17" s="374">
        <v>423078.95453720703</v>
      </c>
      <c r="I17" s="51">
        <v>0</v>
      </c>
      <c r="J17" s="51"/>
      <c r="K17" s="114">
        <f>G17</f>
        <v>423078.95453720703</v>
      </c>
      <c r="L17" s="52">
        <f t="shared" ref="L17:L49" si="1">IF(K17&lt;&gt;0,+G17-K17,0)</f>
        <v>0</v>
      </c>
      <c r="M17" s="114">
        <f>H17</f>
        <v>423078.95453720703</v>
      </c>
      <c r="N17" s="52">
        <f t="shared" ref="N17:N49" si="2">IF(M17&lt;&gt;0,+H17-M17,0)</f>
        <v>0</v>
      </c>
      <c r="O17" s="53">
        <f t="shared" ref="O17:O49" si="3">+N17-L17</f>
        <v>0</v>
      </c>
      <c r="P17" s="1"/>
      <c r="R17" s="1"/>
      <c r="S17" s="1"/>
      <c r="T17" s="1"/>
      <c r="U17" s="1"/>
    </row>
    <row r="18" spans="2:21">
      <c r="B18" t="str">
        <f t="shared" si="0"/>
        <v>IU</v>
      </c>
      <c r="C18" s="49">
        <f>IF(D$11="","-",+C17+1)</f>
        <v>2013</v>
      </c>
      <c r="D18" s="54"/>
      <c r="E18" s="377">
        <f t="shared" ref="E18:E32" si="4">IF(+I$14&lt;F17,I$14,D18)</f>
        <v>0</v>
      </c>
      <c r="F18" s="54">
        <f t="shared" ref="F18:F49" si="5">+D18-E18</f>
        <v>0</v>
      </c>
      <c r="G18" s="378">
        <f t="shared" ref="G18:G73" si="6">(D18+F18)/2*I$12+E18</f>
        <v>0</v>
      </c>
      <c r="H18" s="359">
        <f t="shared" ref="H18:H73" si="7">+(D18+F18)/2*I$13+E18</f>
        <v>0</v>
      </c>
      <c r="I18" s="51">
        <f t="shared" ref="I18:I49" si="8">H18-G18</f>
        <v>0</v>
      </c>
      <c r="J18" s="51"/>
      <c r="K18" s="112"/>
      <c r="L18" s="53">
        <f t="shared" si="1"/>
        <v>0</v>
      </c>
      <c r="M18" s="112"/>
      <c r="N18" s="53">
        <f t="shared" si="2"/>
        <v>0</v>
      </c>
      <c r="O18" s="53">
        <f t="shared" si="3"/>
        <v>0</v>
      </c>
      <c r="P18" s="1"/>
      <c r="R18" s="1"/>
      <c r="S18" s="1"/>
      <c r="T18" s="1"/>
      <c r="U18" s="1"/>
    </row>
    <row r="19" spans="2:21">
      <c r="B19" t="str">
        <f t="shared" si="0"/>
        <v/>
      </c>
      <c r="C19" s="49">
        <f>IF(D$11="","-",+C18+1)</f>
        <v>2014</v>
      </c>
      <c r="D19" s="54"/>
      <c r="E19" s="377">
        <f t="shared" si="4"/>
        <v>0</v>
      </c>
      <c r="F19" s="54">
        <f t="shared" si="5"/>
        <v>0</v>
      </c>
      <c r="G19" s="378">
        <f t="shared" si="6"/>
        <v>0</v>
      </c>
      <c r="H19" s="359">
        <f t="shared" si="7"/>
        <v>0</v>
      </c>
      <c r="I19" s="51">
        <f t="shared" si="8"/>
        <v>0</v>
      </c>
      <c r="J19" s="51"/>
      <c r="K19" s="112"/>
      <c r="L19" s="53">
        <f t="shared" si="1"/>
        <v>0</v>
      </c>
      <c r="M19" s="112"/>
      <c r="N19" s="53">
        <f t="shared" si="2"/>
        <v>0</v>
      </c>
      <c r="O19" s="53">
        <f t="shared" si="3"/>
        <v>0</v>
      </c>
      <c r="P19" s="1"/>
      <c r="R19" s="1"/>
      <c r="S19" s="1"/>
      <c r="T19" s="1"/>
      <c r="U19" s="1"/>
    </row>
    <row r="20" spans="2:21">
      <c r="B20" t="str">
        <f t="shared" si="0"/>
        <v/>
      </c>
      <c r="C20" s="49">
        <f>IF(D$11="","-",+C19+1)</f>
        <v>2015</v>
      </c>
      <c r="D20" s="54"/>
      <c r="E20" s="377">
        <f t="shared" si="4"/>
        <v>0</v>
      </c>
      <c r="F20" s="54">
        <f t="shared" si="5"/>
        <v>0</v>
      </c>
      <c r="G20" s="378">
        <f t="shared" si="6"/>
        <v>0</v>
      </c>
      <c r="H20" s="359">
        <f t="shared" si="7"/>
        <v>0</v>
      </c>
      <c r="I20" s="51">
        <f t="shared" si="8"/>
        <v>0</v>
      </c>
      <c r="J20" s="51"/>
      <c r="K20" s="112"/>
      <c r="L20" s="53">
        <f t="shared" si="1"/>
        <v>0</v>
      </c>
      <c r="M20" s="112"/>
      <c r="N20" s="53">
        <f t="shared" si="2"/>
        <v>0</v>
      </c>
      <c r="O20" s="53">
        <f t="shared" si="3"/>
        <v>0</v>
      </c>
      <c r="P20" s="1"/>
      <c r="R20" s="1"/>
      <c r="S20" s="1"/>
      <c r="T20" s="1"/>
      <c r="U20" s="1"/>
    </row>
    <row r="21" spans="2:21">
      <c r="B21" t="str">
        <f t="shared" si="0"/>
        <v/>
      </c>
      <c r="C21" s="49">
        <f>IF(D12="","-",+C20+1)</f>
        <v>2016</v>
      </c>
      <c r="D21" s="54"/>
      <c r="E21" s="377">
        <f t="shared" si="4"/>
        <v>0</v>
      </c>
      <c r="F21" s="54">
        <f t="shared" si="5"/>
        <v>0</v>
      </c>
      <c r="G21" s="378">
        <f t="shared" si="6"/>
        <v>0</v>
      </c>
      <c r="H21" s="359">
        <f t="shared" si="7"/>
        <v>0</v>
      </c>
      <c r="I21" s="51">
        <f t="shared" si="8"/>
        <v>0</v>
      </c>
      <c r="J21" s="51"/>
      <c r="K21" s="112"/>
      <c r="L21" s="53">
        <f t="shared" si="1"/>
        <v>0</v>
      </c>
      <c r="M21" s="112"/>
      <c r="N21" s="53">
        <f t="shared" si="2"/>
        <v>0</v>
      </c>
      <c r="O21" s="53">
        <f t="shared" si="3"/>
        <v>0</v>
      </c>
      <c r="P21" s="1"/>
      <c r="R21" s="1"/>
      <c r="S21" s="1"/>
      <c r="T21" s="1"/>
      <c r="U21" s="1"/>
    </row>
    <row r="22" spans="2:21">
      <c r="B22" t="str">
        <f t="shared" si="0"/>
        <v/>
      </c>
      <c r="C22" s="49">
        <f>IF(D$11="","-",+C21+1)</f>
        <v>2017</v>
      </c>
      <c r="D22" s="54"/>
      <c r="E22" s="377">
        <f t="shared" si="4"/>
        <v>0</v>
      </c>
      <c r="F22" s="54">
        <f t="shared" si="5"/>
        <v>0</v>
      </c>
      <c r="G22" s="378">
        <f t="shared" si="6"/>
        <v>0</v>
      </c>
      <c r="H22" s="359">
        <f t="shared" si="7"/>
        <v>0</v>
      </c>
      <c r="I22" s="51">
        <f t="shared" si="8"/>
        <v>0</v>
      </c>
      <c r="J22" s="51"/>
      <c r="K22" s="112"/>
      <c r="L22" s="53">
        <f t="shared" si="1"/>
        <v>0</v>
      </c>
      <c r="M22" s="112"/>
      <c r="N22" s="53">
        <f t="shared" si="2"/>
        <v>0</v>
      </c>
      <c r="O22" s="53">
        <f t="shared" si="3"/>
        <v>0</v>
      </c>
      <c r="P22" s="1"/>
      <c r="R22" s="1"/>
      <c r="S22" s="1"/>
      <c r="T22" s="1"/>
      <c r="U22" s="1"/>
    </row>
    <row r="23" spans="2:21">
      <c r="B23" t="str">
        <f t="shared" si="0"/>
        <v/>
      </c>
      <c r="C23" s="49">
        <f>IF(D$11="","-",+C22+1)</f>
        <v>2018</v>
      </c>
      <c r="D23" s="54"/>
      <c r="E23" s="377">
        <f t="shared" si="4"/>
        <v>0</v>
      </c>
      <c r="F23" s="54">
        <f t="shared" si="5"/>
        <v>0</v>
      </c>
      <c r="G23" s="378">
        <f t="shared" si="6"/>
        <v>0</v>
      </c>
      <c r="H23" s="359">
        <f t="shared" si="7"/>
        <v>0</v>
      </c>
      <c r="I23" s="51">
        <f t="shared" si="8"/>
        <v>0</v>
      </c>
      <c r="J23" s="51"/>
      <c r="K23" s="112"/>
      <c r="L23" s="53">
        <f t="shared" si="1"/>
        <v>0</v>
      </c>
      <c r="M23" s="112"/>
      <c r="N23" s="53">
        <f t="shared" si="2"/>
        <v>0</v>
      </c>
      <c r="O23" s="53">
        <f t="shared" si="3"/>
        <v>0</v>
      </c>
      <c r="P23" s="1"/>
      <c r="R23" s="1"/>
      <c r="S23" s="1"/>
      <c r="T23" s="1"/>
      <c r="U23" s="1"/>
    </row>
    <row r="24" spans="2:21">
      <c r="B24" t="str">
        <f t="shared" si="0"/>
        <v/>
      </c>
      <c r="C24" s="49">
        <f>IF(D$11="","-",+C23+1)</f>
        <v>2019</v>
      </c>
      <c r="D24" s="54"/>
      <c r="E24" s="377">
        <f t="shared" si="4"/>
        <v>0</v>
      </c>
      <c r="F24" s="54">
        <f t="shared" si="5"/>
        <v>0</v>
      </c>
      <c r="G24" s="378">
        <f t="shared" si="6"/>
        <v>0</v>
      </c>
      <c r="H24" s="359">
        <f t="shared" si="7"/>
        <v>0</v>
      </c>
      <c r="I24" s="51">
        <f t="shared" si="8"/>
        <v>0</v>
      </c>
      <c r="J24" s="51"/>
      <c r="K24" s="112"/>
      <c r="L24" s="53">
        <f t="shared" si="1"/>
        <v>0</v>
      </c>
      <c r="M24" s="112"/>
      <c r="N24" s="53">
        <f t="shared" si="2"/>
        <v>0</v>
      </c>
      <c r="O24" s="53">
        <f t="shared" si="3"/>
        <v>0</v>
      </c>
      <c r="P24" s="1"/>
      <c r="R24" s="1"/>
      <c r="S24" s="1"/>
      <c r="T24" s="1"/>
      <c r="U24" s="1"/>
    </row>
    <row r="25" spans="2:21">
      <c r="B25" t="str">
        <f t="shared" si="0"/>
        <v/>
      </c>
      <c r="C25" s="49">
        <f>IF(D$11="","-",+C24+1)</f>
        <v>2020</v>
      </c>
      <c r="D25" s="54"/>
      <c r="E25" s="377">
        <f t="shared" si="4"/>
        <v>0</v>
      </c>
      <c r="F25" s="54">
        <f t="shared" si="5"/>
        <v>0</v>
      </c>
      <c r="G25" s="378">
        <f t="shared" si="6"/>
        <v>0</v>
      </c>
      <c r="H25" s="359">
        <f t="shared" si="7"/>
        <v>0</v>
      </c>
      <c r="I25" s="51">
        <f t="shared" si="8"/>
        <v>0</v>
      </c>
      <c r="J25" s="51"/>
      <c r="K25" s="112"/>
      <c r="L25" s="53">
        <f t="shared" si="1"/>
        <v>0</v>
      </c>
      <c r="M25" s="112"/>
      <c r="N25" s="53">
        <f t="shared" si="2"/>
        <v>0</v>
      </c>
      <c r="O25" s="53">
        <f t="shared" si="3"/>
        <v>0</v>
      </c>
      <c r="P25" s="1"/>
      <c r="R25" s="1"/>
      <c r="S25" s="1"/>
      <c r="T25" s="1"/>
      <c r="U25" s="1"/>
    </row>
    <row r="26" spans="2:21">
      <c r="B26" t="str">
        <f t="shared" si="0"/>
        <v/>
      </c>
      <c r="C26" s="49">
        <f>IF(D$11="","-",+C25+1)</f>
        <v>2021</v>
      </c>
      <c r="D26" s="54"/>
      <c r="E26" s="377">
        <f t="shared" si="4"/>
        <v>0</v>
      </c>
      <c r="F26" s="54">
        <f t="shared" si="5"/>
        <v>0</v>
      </c>
      <c r="G26" s="378">
        <f t="shared" si="6"/>
        <v>0</v>
      </c>
      <c r="H26" s="359">
        <f t="shared" si="7"/>
        <v>0</v>
      </c>
      <c r="I26" s="51">
        <f t="shared" si="8"/>
        <v>0</v>
      </c>
      <c r="J26" s="51"/>
      <c r="K26" s="112"/>
      <c r="L26" s="53">
        <f t="shared" si="1"/>
        <v>0</v>
      </c>
      <c r="M26" s="112"/>
      <c r="N26" s="53">
        <f t="shared" si="2"/>
        <v>0</v>
      </c>
      <c r="O26" s="53">
        <f t="shared" si="3"/>
        <v>0</v>
      </c>
      <c r="P26" s="1"/>
      <c r="R26" s="1"/>
      <c r="S26" s="1"/>
      <c r="T26" s="1"/>
      <c r="U26" s="1"/>
    </row>
    <row r="27" spans="2:21">
      <c r="B27" t="str">
        <f t="shared" si="0"/>
        <v/>
      </c>
      <c r="C27" s="49">
        <f t="shared" ref="C27:C73" si="9">IF(D$11="","-",+C26+1)</f>
        <v>2022</v>
      </c>
      <c r="D27" s="54"/>
      <c r="E27" s="377">
        <f t="shared" si="4"/>
        <v>0</v>
      </c>
      <c r="F27" s="54">
        <f t="shared" si="5"/>
        <v>0</v>
      </c>
      <c r="G27" s="378">
        <f t="shared" si="6"/>
        <v>0</v>
      </c>
      <c r="H27" s="359">
        <f t="shared" si="7"/>
        <v>0</v>
      </c>
      <c r="I27" s="51">
        <f t="shared" si="8"/>
        <v>0</v>
      </c>
      <c r="J27" s="51"/>
      <c r="K27" s="112"/>
      <c r="L27" s="53">
        <f t="shared" si="1"/>
        <v>0</v>
      </c>
      <c r="M27" s="112"/>
      <c r="N27" s="53">
        <f t="shared" si="2"/>
        <v>0</v>
      </c>
      <c r="O27" s="53">
        <f t="shared" si="3"/>
        <v>0</v>
      </c>
      <c r="P27" s="1"/>
      <c r="R27" s="1"/>
      <c r="S27" s="1"/>
      <c r="T27" s="1"/>
      <c r="U27" s="1"/>
    </row>
    <row r="28" spans="2:21">
      <c r="B28" t="str">
        <f t="shared" si="0"/>
        <v/>
      </c>
      <c r="C28" s="49">
        <f t="shared" si="9"/>
        <v>2023</v>
      </c>
      <c r="D28" s="54"/>
      <c r="E28" s="377">
        <f t="shared" si="4"/>
        <v>0</v>
      </c>
      <c r="F28" s="54">
        <f t="shared" si="5"/>
        <v>0</v>
      </c>
      <c r="G28" s="378">
        <f t="shared" si="6"/>
        <v>0</v>
      </c>
      <c r="H28" s="359">
        <f t="shared" si="7"/>
        <v>0</v>
      </c>
      <c r="I28" s="51">
        <f t="shared" si="8"/>
        <v>0</v>
      </c>
      <c r="J28" s="51"/>
      <c r="K28" s="112"/>
      <c r="L28" s="53">
        <f t="shared" si="1"/>
        <v>0</v>
      </c>
      <c r="M28" s="112"/>
      <c r="N28" s="53">
        <f t="shared" si="2"/>
        <v>0</v>
      </c>
      <c r="O28" s="53">
        <f t="shared" si="3"/>
        <v>0</v>
      </c>
      <c r="P28" s="1"/>
      <c r="R28" s="1"/>
      <c r="S28" s="1"/>
      <c r="T28" s="1"/>
      <c r="U28" s="1"/>
    </row>
    <row r="29" spans="2:21">
      <c r="B29" t="str">
        <f t="shared" si="0"/>
        <v/>
      </c>
      <c r="C29" s="49">
        <f t="shared" si="9"/>
        <v>2024</v>
      </c>
      <c r="D29" s="54"/>
      <c r="E29" s="377">
        <f t="shared" si="4"/>
        <v>0</v>
      </c>
      <c r="F29" s="54">
        <f t="shared" si="5"/>
        <v>0</v>
      </c>
      <c r="G29" s="378">
        <f t="shared" si="6"/>
        <v>0</v>
      </c>
      <c r="H29" s="359">
        <f t="shared" si="7"/>
        <v>0</v>
      </c>
      <c r="I29" s="51">
        <f t="shared" si="8"/>
        <v>0</v>
      </c>
      <c r="J29" s="51"/>
      <c r="K29" s="112"/>
      <c r="L29" s="53">
        <f t="shared" si="1"/>
        <v>0</v>
      </c>
      <c r="M29" s="112"/>
      <c r="N29" s="53">
        <f t="shared" si="2"/>
        <v>0</v>
      </c>
      <c r="O29" s="53">
        <f t="shared" si="3"/>
        <v>0</v>
      </c>
      <c r="P29" s="1"/>
      <c r="R29" s="1"/>
      <c r="S29" s="1"/>
      <c r="T29" s="1"/>
      <c r="U29" s="1"/>
    </row>
    <row r="30" spans="2:21">
      <c r="B30" t="str">
        <f t="shared" si="0"/>
        <v/>
      </c>
      <c r="C30" s="49">
        <f t="shared" si="9"/>
        <v>2025</v>
      </c>
      <c r="D30" s="54"/>
      <c r="E30" s="377">
        <f t="shared" si="4"/>
        <v>0</v>
      </c>
      <c r="F30" s="54">
        <f t="shared" si="5"/>
        <v>0</v>
      </c>
      <c r="G30" s="378">
        <f t="shared" si="6"/>
        <v>0</v>
      </c>
      <c r="H30" s="359">
        <f t="shared" si="7"/>
        <v>0</v>
      </c>
      <c r="I30" s="51">
        <f t="shared" si="8"/>
        <v>0</v>
      </c>
      <c r="J30" s="51"/>
      <c r="K30" s="112"/>
      <c r="L30" s="53">
        <f t="shared" si="1"/>
        <v>0</v>
      </c>
      <c r="M30" s="112"/>
      <c r="N30" s="53">
        <f t="shared" si="2"/>
        <v>0</v>
      </c>
      <c r="O30" s="53">
        <f t="shared" si="3"/>
        <v>0</v>
      </c>
      <c r="P30" s="1"/>
      <c r="R30" s="1"/>
      <c r="S30" s="1"/>
      <c r="T30" s="1"/>
      <c r="U30" s="1"/>
    </row>
    <row r="31" spans="2:21">
      <c r="B31" t="str">
        <f t="shared" si="0"/>
        <v/>
      </c>
      <c r="C31" s="49">
        <f t="shared" si="9"/>
        <v>2026</v>
      </c>
      <c r="D31" s="54"/>
      <c r="E31" s="377">
        <f t="shared" si="4"/>
        <v>0</v>
      </c>
      <c r="F31" s="54">
        <f t="shared" si="5"/>
        <v>0</v>
      </c>
      <c r="G31" s="378">
        <f t="shared" si="6"/>
        <v>0</v>
      </c>
      <c r="H31" s="359">
        <f t="shared" si="7"/>
        <v>0</v>
      </c>
      <c r="I31" s="51">
        <f t="shared" si="8"/>
        <v>0</v>
      </c>
      <c r="J31" s="51"/>
      <c r="K31" s="112"/>
      <c r="L31" s="53">
        <f t="shared" si="1"/>
        <v>0</v>
      </c>
      <c r="M31" s="112"/>
      <c r="N31" s="53">
        <f t="shared" si="2"/>
        <v>0</v>
      </c>
      <c r="O31" s="53">
        <f t="shared" si="3"/>
        <v>0</v>
      </c>
      <c r="P31" s="1"/>
      <c r="R31" s="1"/>
      <c r="S31" s="1"/>
      <c r="T31" s="1"/>
      <c r="U31" s="1"/>
    </row>
    <row r="32" spans="2:21">
      <c r="B32" t="str">
        <f t="shared" si="0"/>
        <v/>
      </c>
      <c r="C32" s="49">
        <f t="shared" si="9"/>
        <v>2027</v>
      </c>
      <c r="D32" s="54"/>
      <c r="E32" s="377">
        <f t="shared" si="4"/>
        <v>0</v>
      </c>
      <c r="F32" s="54">
        <f>+D32-E32</f>
        <v>0</v>
      </c>
      <c r="G32" s="378">
        <f t="shared" si="6"/>
        <v>0</v>
      </c>
      <c r="H32" s="359">
        <f t="shared" si="7"/>
        <v>0</v>
      </c>
      <c r="I32" s="51">
        <f>H32-G32</f>
        <v>0</v>
      </c>
      <c r="J32" s="51"/>
      <c r="K32" s="112"/>
      <c r="L32" s="53">
        <f>IF(K32&lt;&gt;0,+G32-K32,0)</f>
        <v>0</v>
      </c>
      <c r="M32" s="112"/>
      <c r="N32" s="53">
        <f>IF(M32&lt;&gt;0,+H32-M32,0)</f>
        <v>0</v>
      </c>
      <c r="O32" s="53">
        <f>+N32-L32</f>
        <v>0</v>
      </c>
      <c r="P32" s="1"/>
      <c r="R32" s="1"/>
      <c r="S32" s="1"/>
      <c r="T32" s="1"/>
      <c r="U32" s="1"/>
    </row>
    <row r="33" spans="2:21">
      <c r="B33" t="str">
        <f t="shared" si="0"/>
        <v/>
      </c>
      <c r="C33" s="49">
        <f t="shared" si="9"/>
        <v>2028</v>
      </c>
      <c r="D33" s="54"/>
      <c r="E33" s="377">
        <f>IF(+I$14&lt;F31,I$14,D33)</f>
        <v>0</v>
      </c>
      <c r="F33" s="54">
        <f t="shared" si="5"/>
        <v>0</v>
      </c>
      <c r="G33" s="378">
        <f t="shared" si="6"/>
        <v>0</v>
      </c>
      <c r="H33" s="359">
        <f t="shared" si="7"/>
        <v>0</v>
      </c>
      <c r="I33" s="51">
        <f t="shared" si="8"/>
        <v>0</v>
      </c>
      <c r="J33" s="51"/>
      <c r="K33" s="112"/>
      <c r="L33" s="53">
        <f t="shared" si="1"/>
        <v>0</v>
      </c>
      <c r="M33" s="112"/>
      <c r="N33" s="53">
        <f t="shared" si="2"/>
        <v>0</v>
      </c>
      <c r="O33" s="53">
        <f t="shared" si="3"/>
        <v>0</v>
      </c>
      <c r="P33" s="1"/>
      <c r="R33" s="1"/>
      <c r="S33" s="1"/>
      <c r="T33" s="1"/>
      <c r="U33" s="1"/>
    </row>
    <row r="34" spans="2:21">
      <c r="B34" t="str">
        <f t="shared" si="0"/>
        <v/>
      </c>
      <c r="C34" s="49">
        <f t="shared" si="9"/>
        <v>2029</v>
      </c>
      <c r="D34" s="54"/>
      <c r="E34" s="377">
        <f t="shared" ref="E34:E73" si="10">IF(+I$14&lt;F33,I$14,D34)</f>
        <v>0</v>
      </c>
      <c r="F34" s="54">
        <f t="shared" si="5"/>
        <v>0</v>
      </c>
      <c r="G34" s="378">
        <f t="shared" si="6"/>
        <v>0</v>
      </c>
      <c r="H34" s="359">
        <f t="shared" si="7"/>
        <v>0</v>
      </c>
      <c r="I34" s="51">
        <f t="shared" si="8"/>
        <v>0</v>
      </c>
      <c r="J34" s="51"/>
      <c r="K34" s="112"/>
      <c r="L34" s="53">
        <f t="shared" si="1"/>
        <v>0</v>
      </c>
      <c r="M34" s="112"/>
      <c r="N34" s="53">
        <f t="shared" si="2"/>
        <v>0</v>
      </c>
      <c r="O34" s="53">
        <f t="shared" si="3"/>
        <v>0</v>
      </c>
      <c r="P34" s="387"/>
      <c r="Q34" s="187"/>
      <c r="R34" s="387"/>
      <c r="S34" s="387"/>
      <c r="T34" s="387"/>
      <c r="U34" s="1"/>
    </row>
    <row r="35" spans="2:21">
      <c r="B35" t="str">
        <f t="shared" si="0"/>
        <v/>
      </c>
      <c r="C35" s="49">
        <f t="shared" si="9"/>
        <v>2030</v>
      </c>
      <c r="D35" s="54"/>
      <c r="E35" s="377">
        <f t="shared" si="10"/>
        <v>0</v>
      </c>
      <c r="F35" s="54">
        <f t="shared" si="5"/>
        <v>0</v>
      </c>
      <c r="G35" s="378">
        <f t="shared" si="6"/>
        <v>0</v>
      </c>
      <c r="H35" s="359">
        <f t="shared" si="7"/>
        <v>0</v>
      </c>
      <c r="I35" s="51">
        <f t="shared" si="8"/>
        <v>0</v>
      </c>
      <c r="J35" s="51"/>
      <c r="K35" s="112"/>
      <c r="L35" s="53">
        <f t="shared" si="1"/>
        <v>0</v>
      </c>
      <c r="M35" s="112"/>
      <c r="N35" s="53">
        <f t="shared" si="2"/>
        <v>0</v>
      </c>
      <c r="O35" s="53">
        <f t="shared" si="3"/>
        <v>0</v>
      </c>
      <c r="P35" s="1"/>
      <c r="R35" s="1"/>
      <c r="S35" s="1"/>
      <c r="T35" s="1"/>
      <c r="U35" s="1"/>
    </row>
    <row r="36" spans="2:21">
      <c r="B36" t="str">
        <f t="shared" si="0"/>
        <v/>
      </c>
      <c r="C36" s="49">
        <f t="shared" si="9"/>
        <v>2031</v>
      </c>
      <c r="D36" s="54"/>
      <c r="E36" s="377">
        <f t="shared" si="10"/>
        <v>0</v>
      </c>
      <c r="F36" s="54">
        <f t="shared" si="5"/>
        <v>0</v>
      </c>
      <c r="G36" s="378">
        <f t="shared" si="6"/>
        <v>0</v>
      </c>
      <c r="H36" s="359">
        <f t="shared" si="7"/>
        <v>0</v>
      </c>
      <c r="I36" s="51">
        <f t="shared" si="8"/>
        <v>0</v>
      </c>
      <c r="J36" s="51"/>
      <c r="K36" s="112"/>
      <c r="L36" s="53">
        <f t="shared" si="1"/>
        <v>0</v>
      </c>
      <c r="M36" s="112"/>
      <c r="N36" s="53">
        <f t="shared" si="2"/>
        <v>0</v>
      </c>
      <c r="O36" s="53">
        <f t="shared" si="3"/>
        <v>0</v>
      </c>
      <c r="P36" s="1"/>
      <c r="R36" s="1"/>
      <c r="S36" s="1"/>
      <c r="T36" s="1"/>
      <c r="U36" s="1"/>
    </row>
    <row r="37" spans="2:21">
      <c r="B37" t="str">
        <f t="shared" si="0"/>
        <v/>
      </c>
      <c r="C37" s="49">
        <f t="shared" si="9"/>
        <v>2032</v>
      </c>
      <c r="D37" s="54"/>
      <c r="E37" s="377">
        <f t="shared" si="10"/>
        <v>0</v>
      </c>
      <c r="F37" s="54">
        <f t="shared" si="5"/>
        <v>0</v>
      </c>
      <c r="G37" s="378">
        <f t="shared" si="6"/>
        <v>0</v>
      </c>
      <c r="H37" s="359">
        <f t="shared" si="7"/>
        <v>0</v>
      </c>
      <c r="I37" s="51">
        <f t="shared" si="8"/>
        <v>0</v>
      </c>
      <c r="J37" s="51"/>
      <c r="K37" s="112"/>
      <c r="L37" s="53">
        <f t="shared" si="1"/>
        <v>0</v>
      </c>
      <c r="M37" s="112"/>
      <c r="N37" s="53">
        <f t="shared" si="2"/>
        <v>0</v>
      </c>
      <c r="O37" s="53">
        <f t="shared" si="3"/>
        <v>0</v>
      </c>
      <c r="P37" s="1"/>
      <c r="R37" s="1"/>
      <c r="S37" s="1"/>
      <c r="T37" s="1"/>
      <c r="U37" s="1"/>
    </row>
    <row r="38" spans="2:21">
      <c r="B38" t="str">
        <f t="shared" si="0"/>
        <v/>
      </c>
      <c r="C38" s="49">
        <f t="shared" si="9"/>
        <v>2033</v>
      </c>
      <c r="D38" s="54"/>
      <c r="E38" s="377">
        <f t="shared" si="10"/>
        <v>0</v>
      </c>
      <c r="F38" s="54">
        <f t="shared" si="5"/>
        <v>0</v>
      </c>
      <c r="G38" s="378">
        <f t="shared" si="6"/>
        <v>0</v>
      </c>
      <c r="H38" s="359">
        <f t="shared" si="7"/>
        <v>0</v>
      </c>
      <c r="I38" s="51">
        <f t="shared" si="8"/>
        <v>0</v>
      </c>
      <c r="J38" s="51"/>
      <c r="K38" s="112"/>
      <c r="L38" s="53">
        <f t="shared" si="1"/>
        <v>0</v>
      </c>
      <c r="M38" s="112"/>
      <c r="N38" s="53">
        <f t="shared" si="2"/>
        <v>0</v>
      </c>
      <c r="O38" s="53">
        <f t="shared" si="3"/>
        <v>0</v>
      </c>
      <c r="P38" s="1"/>
      <c r="R38" s="1"/>
      <c r="S38" s="1"/>
      <c r="T38" s="1"/>
      <c r="U38" s="1"/>
    </row>
    <row r="39" spans="2:21">
      <c r="B39" t="str">
        <f t="shared" si="0"/>
        <v/>
      </c>
      <c r="C39" s="49">
        <f t="shared" si="9"/>
        <v>2034</v>
      </c>
      <c r="D39" s="54"/>
      <c r="E39" s="377">
        <f t="shared" si="10"/>
        <v>0</v>
      </c>
      <c r="F39" s="54">
        <f t="shared" si="5"/>
        <v>0</v>
      </c>
      <c r="G39" s="378">
        <f t="shared" si="6"/>
        <v>0</v>
      </c>
      <c r="H39" s="359">
        <f t="shared" si="7"/>
        <v>0</v>
      </c>
      <c r="I39" s="51">
        <f t="shared" si="8"/>
        <v>0</v>
      </c>
      <c r="J39" s="51"/>
      <c r="K39" s="112"/>
      <c r="L39" s="53">
        <f t="shared" si="1"/>
        <v>0</v>
      </c>
      <c r="M39" s="112"/>
      <c r="N39" s="53">
        <f t="shared" si="2"/>
        <v>0</v>
      </c>
      <c r="O39" s="53">
        <f t="shared" si="3"/>
        <v>0</v>
      </c>
      <c r="P39" s="1"/>
      <c r="R39" s="1"/>
      <c r="S39" s="1"/>
      <c r="T39" s="1"/>
      <c r="U39" s="1"/>
    </row>
    <row r="40" spans="2:21">
      <c r="B40" t="str">
        <f t="shared" si="0"/>
        <v/>
      </c>
      <c r="C40" s="49">
        <f t="shared" si="9"/>
        <v>2035</v>
      </c>
      <c r="D40" s="54"/>
      <c r="E40" s="377">
        <f t="shared" si="10"/>
        <v>0</v>
      </c>
      <c r="F40" s="54">
        <f t="shared" si="5"/>
        <v>0</v>
      </c>
      <c r="G40" s="378">
        <f t="shared" si="6"/>
        <v>0</v>
      </c>
      <c r="H40" s="359">
        <f t="shared" si="7"/>
        <v>0</v>
      </c>
      <c r="I40" s="51">
        <f t="shared" si="8"/>
        <v>0</v>
      </c>
      <c r="J40" s="51"/>
      <c r="K40" s="112"/>
      <c r="L40" s="53">
        <f t="shared" si="1"/>
        <v>0</v>
      </c>
      <c r="M40" s="112"/>
      <c r="N40" s="53">
        <f t="shared" si="2"/>
        <v>0</v>
      </c>
      <c r="O40" s="53">
        <f t="shared" si="3"/>
        <v>0</v>
      </c>
      <c r="P40" s="1"/>
      <c r="R40" s="1"/>
      <c r="S40" s="1"/>
      <c r="T40" s="1"/>
      <c r="U40" s="1"/>
    </row>
    <row r="41" spans="2:21">
      <c r="B41" t="str">
        <f t="shared" si="0"/>
        <v/>
      </c>
      <c r="C41" s="49">
        <f t="shared" si="9"/>
        <v>2036</v>
      </c>
      <c r="D41" s="54"/>
      <c r="E41" s="377">
        <f t="shared" si="10"/>
        <v>0</v>
      </c>
      <c r="F41" s="54">
        <f t="shared" si="5"/>
        <v>0</v>
      </c>
      <c r="G41" s="378">
        <f t="shared" si="6"/>
        <v>0</v>
      </c>
      <c r="H41" s="359">
        <f t="shared" si="7"/>
        <v>0</v>
      </c>
      <c r="I41" s="51">
        <f t="shared" si="8"/>
        <v>0</v>
      </c>
      <c r="J41" s="51"/>
      <c r="K41" s="112"/>
      <c r="L41" s="53">
        <f t="shared" si="1"/>
        <v>0</v>
      </c>
      <c r="M41" s="112"/>
      <c r="N41" s="53">
        <f t="shared" si="2"/>
        <v>0</v>
      </c>
      <c r="O41" s="53">
        <f t="shared" si="3"/>
        <v>0</v>
      </c>
      <c r="P41" s="1"/>
      <c r="R41" s="1"/>
      <c r="S41" s="1"/>
      <c r="T41" s="1"/>
      <c r="U41" s="1"/>
    </row>
    <row r="42" spans="2:21">
      <c r="B42" t="str">
        <f t="shared" si="0"/>
        <v/>
      </c>
      <c r="C42" s="49">
        <f t="shared" si="9"/>
        <v>2037</v>
      </c>
      <c r="D42" s="54"/>
      <c r="E42" s="377">
        <f t="shared" si="10"/>
        <v>0</v>
      </c>
      <c r="F42" s="54">
        <f t="shared" si="5"/>
        <v>0</v>
      </c>
      <c r="G42" s="378">
        <f t="shared" si="6"/>
        <v>0</v>
      </c>
      <c r="H42" s="359">
        <f t="shared" si="7"/>
        <v>0</v>
      </c>
      <c r="I42" s="51">
        <f t="shared" si="8"/>
        <v>0</v>
      </c>
      <c r="J42" s="51"/>
      <c r="K42" s="112"/>
      <c r="L42" s="53">
        <f t="shared" si="1"/>
        <v>0</v>
      </c>
      <c r="M42" s="112"/>
      <c r="N42" s="53">
        <f t="shared" si="2"/>
        <v>0</v>
      </c>
      <c r="O42" s="53">
        <f t="shared" si="3"/>
        <v>0</v>
      </c>
      <c r="P42" s="1"/>
      <c r="R42" s="1"/>
      <c r="S42" s="1"/>
      <c r="T42" s="1"/>
      <c r="U42" s="1"/>
    </row>
    <row r="43" spans="2:21">
      <c r="B43" t="str">
        <f t="shared" si="0"/>
        <v/>
      </c>
      <c r="C43" s="49">
        <f t="shared" si="9"/>
        <v>2038</v>
      </c>
      <c r="D43" s="54"/>
      <c r="E43" s="377">
        <f t="shared" si="10"/>
        <v>0</v>
      </c>
      <c r="F43" s="54">
        <f t="shared" si="5"/>
        <v>0</v>
      </c>
      <c r="G43" s="378">
        <f t="shared" si="6"/>
        <v>0</v>
      </c>
      <c r="H43" s="359">
        <f t="shared" si="7"/>
        <v>0</v>
      </c>
      <c r="I43" s="51">
        <f t="shared" si="8"/>
        <v>0</v>
      </c>
      <c r="J43" s="51"/>
      <c r="K43" s="112"/>
      <c r="L43" s="53">
        <f t="shared" si="1"/>
        <v>0</v>
      </c>
      <c r="M43" s="112"/>
      <c r="N43" s="53">
        <f t="shared" si="2"/>
        <v>0</v>
      </c>
      <c r="O43" s="53">
        <f t="shared" si="3"/>
        <v>0</v>
      </c>
      <c r="P43" s="1"/>
      <c r="R43" s="1"/>
      <c r="S43" s="1"/>
      <c r="T43" s="1"/>
      <c r="U43" s="1"/>
    </row>
    <row r="44" spans="2:21">
      <c r="B44" t="str">
        <f t="shared" si="0"/>
        <v/>
      </c>
      <c r="C44" s="49">
        <f t="shared" si="9"/>
        <v>2039</v>
      </c>
      <c r="D44" s="54"/>
      <c r="E44" s="377">
        <f t="shared" si="10"/>
        <v>0</v>
      </c>
      <c r="F44" s="54">
        <f t="shared" si="5"/>
        <v>0</v>
      </c>
      <c r="G44" s="378">
        <f t="shared" si="6"/>
        <v>0</v>
      </c>
      <c r="H44" s="359">
        <f t="shared" si="7"/>
        <v>0</v>
      </c>
      <c r="I44" s="51">
        <f t="shared" si="8"/>
        <v>0</v>
      </c>
      <c r="J44" s="51"/>
      <c r="K44" s="112"/>
      <c r="L44" s="53">
        <f t="shared" si="1"/>
        <v>0</v>
      </c>
      <c r="M44" s="112"/>
      <c r="N44" s="53">
        <f t="shared" si="2"/>
        <v>0</v>
      </c>
      <c r="O44" s="53">
        <f t="shared" si="3"/>
        <v>0</v>
      </c>
      <c r="P44" s="1"/>
      <c r="R44" s="1"/>
      <c r="S44" s="1"/>
      <c r="T44" s="1"/>
      <c r="U44" s="1"/>
    </row>
    <row r="45" spans="2:21">
      <c r="B45" t="str">
        <f t="shared" si="0"/>
        <v/>
      </c>
      <c r="C45" s="49">
        <f t="shared" si="9"/>
        <v>2040</v>
      </c>
      <c r="D45" s="54"/>
      <c r="E45" s="377">
        <f t="shared" si="10"/>
        <v>0</v>
      </c>
      <c r="F45" s="54">
        <f t="shared" si="5"/>
        <v>0</v>
      </c>
      <c r="G45" s="378">
        <f t="shared" si="6"/>
        <v>0</v>
      </c>
      <c r="H45" s="359">
        <f t="shared" si="7"/>
        <v>0</v>
      </c>
      <c r="I45" s="51">
        <f t="shared" si="8"/>
        <v>0</v>
      </c>
      <c r="J45" s="51"/>
      <c r="K45" s="112"/>
      <c r="L45" s="53">
        <f t="shared" si="1"/>
        <v>0</v>
      </c>
      <c r="M45" s="112"/>
      <c r="N45" s="53">
        <f t="shared" si="2"/>
        <v>0</v>
      </c>
      <c r="O45" s="53">
        <f t="shared" si="3"/>
        <v>0</v>
      </c>
      <c r="P45" s="1"/>
      <c r="R45" s="1"/>
      <c r="S45" s="1"/>
      <c r="T45" s="1"/>
      <c r="U45" s="1"/>
    </row>
    <row r="46" spans="2:21">
      <c r="B46" t="str">
        <f t="shared" si="0"/>
        <v/>
      </c>
      <c r="C46" s="49">
        <f t="shared" si="9"/>
        <v>2041</v>
      </c>
      <c r="D46" s="54"/>
      <c r="E46" s="377">
        <f t="shared" si="10"/>
        <v>0</v>
      </c>
      <c r="F46" s="54">
        <f t="shared" si="5"/>
        <v>0</v>
      </c>
      <c r="G46" s="378">
        <f t="shared" si="6"/>
        <v>0</v>
      </c>
      <c r="H46" s="359">
        <f t="shared" si="7"/>
        <v>0</v>
      </c>
      <c r="I46" s="51">
        <f t="shared" si="8"/>
        <v>0</v>
      </c>
      <c r="J46" s="51"/>
      <c r="K46" s="112"/>
      <c r="L46" s="53">
        <f t="shared" si="1"/>
        <v>0</v>
      </c>
      <c r="M46" s="112"/>
      <c r="N46" s="53">
        <f t="shared" si="2"/>
        <v>0</v>
      </c>
      <c r="O46" s="53">
        <f t="shared" si="3"/>
        <v>0</v>
      </c>
      <c r="P46" s="1"/>
      <c r="R46" s="1"/>
      <c r="S46" s="1"/>
      <c r="T46" s="1"/>
      <c r="U46" s="1"/>
    </row>
    <row r="47" spans="2:21">
      <c r="B47" t="str">
        <f t="shared" si="0"/>
        <v/>
      </c>
      <c r="C47" s="49">
        <f t="shared" si="9"/>
        <v>2042</v>
      </c>
      <c r="D47" s="54"/>
      <c r="E47" s="377">
        <f t="shared" si="10"/>
        <v>0</v>
      </c>
      <c r="F47" s="54">
        <f t="shared" si="5"/>
        <v>0</v>
      </c>
      <c r="G47" s="378">
        <f t="shared" si="6"/>
        <v>0</v>
      </c>
      <c r="H47" s="359">
        <f t="shared" si="7"/>
        <v>0</v>
      </c>
      <c r="I47" s="51">
        <f t="shared" si="8"/>
        <v>0</v>
      </c>
      <c r="J47" s="51"/>
      <c r="K47" s="112"/>
      <c r="L47" s="53">
        <f t="shared" si="1"/>
        <v>0</v>
      </c>
      <c r="M47" s="112"/>
      <c r="N47" s="53">
        <f t="shared" si="2"/>
        <v>0</v>
      </c>
      <c r="O47" s="53">
        <f t="shared" si="3"/>
        <v>0</v>
      </c>
      <c r="P47" s="1"/>
      <c r="R47" s="1"/>
      <c r="S47" s="1"/>
      <c r="T47" s="1"/>
      <c r="U47" s="1"/>
    </row>
    <row r="48" spans="2:21">
      <c r="B48" t="str">
        <f t="shared" si="0"/>
        <v/>
      </c>
      <c r="C48" s="49">
        <f t="shared" si="9"/>
        <v>2043</v>
      </c>
      <c r="D48" s="54"/>
      <c r="E48" s="377">
        <f t="shared" si="10"/>
        <v>0</v>
      </c>
      <c r="F48" s="54">
        <f t="shared" si="5"/>
        <v>0</v>
      </c>
      <c r="G48" s="378">
        <f t="shared" si="6"/>
        <v>0</v>
      </c>
      <c r="H48" s="359">
        <f t="shared" si="7"/>
        <v>0</v>
      </c>
      <c r="I48" s="51">
        <f t="shared" si="8"/>
        <v>0</v>
      </c>
      <c r="J48" s="51"/>
      <c r="K48" s="112"/>
      <c r="L48" s="53">
        <f t="shared" si="1"/>
        <v>0</v>
      </c>
      <c r="M48" s="112"/>
      <c r="N48" s="53">
        <f t="shared" si="2"/>
        <v>0</v>
      </c>
      <c r="O48" s="53">
        <f t="shared" si="3"/>
        <v>0</v>
      </c>
      <c r="P48" s="1"/>
      <c r="R48" s="1"/>
      <c r="S48" s="1"/>
      <c r="T48" s="1"/>
      <c r="U48" s="1"/>
    </row>
    <row r="49" spans="2:21">
      <c r="B49" t="str">
        <f t="shared" si="0"/>
        <v/>
      </c>
      <c r="C49" s="49">
        <f t="shared" si="9"/>
        <v>2044</v>
      </c>
      <c r="D49" s="54"/>
      <c r="E49" s="377">
        <f t="shared" si="10"/>
        <v>0</v>
      </c>
      <c r="F49" s="54">
        <f t="shared" si="5"/>
        <v>0</v>
      </c>
      <c r="G49" s="378">
        <f t="shared" si="6"/>
        <v>0</v>
      </c>
      <c r="H49" s="359">
        <f t="shared" si="7"/>
        <v>0</v>
      </c>
      <c r="I49" s="51">
        <f t="shared" si="8"/>
        <v>0</v>
      </c>
      <c r="J49" s="51"/>
      <c r="K49" s="112"/>
      <c r="L49" s="53">
        <f t="shared" si="1"/>
        <v>0</v>
      </c>
      <c r="M49" s="112"/>
      <c r="N49" s="53">
        <f t="shared" si="2"/>
        <v>0</v>
      </c>
      <c r="O49" s="53">
        <f t="shared" si="3"/>
        <v>0</v>
      </c>
      <c r="P49" s="1"/>
      <c r="R49" s="1"/>
      <c r="S49" s="1"/>
      <c r="T49" s="1"/>
      <c r="U49" s="1"/>
    </row>
    <row r="50" spans="2:21">
      <c r="B50" t="str">
        <f t="shared" ref="B50:B73" si="11">IF(D50=F49,"","IU")</f>
        <v/>
      </c>
      <c r="C50" s="49">
        <f t="shared" si="9"/>
        <v>2045</v>
      </c>
      <c r="D50" s="54"/>
      <c r="E50" s="377">
        <f t="shared" si="10"/>
        <v>0</v>
      </c>
      <c r="F50" s="54">
        <f t="shared" ref="F50:F73" si="12">+D50-E50</f>
        <v>0</v>
      </c>
      <c r="G50" s="378">
        <f t="shared" si="6"/>
        <v>0</v>
      </c>
      <c r="H50" s="359">
        <f t="shared" si="7"/>
        <v>0</v>
      </c>
      <c r="I50" s="51">
        <f t="shared" ref="I50:I73" si="13">H50-G50</f>
        <v>0</v>
      </c>
      <c r="J50" s="51"/>
      <c r="K50" s="112"/>
      <c r="L50" s="53">
        <f t="shared" ref="L50:L73" si="14">IF(K50&lt;&gt;0,+G50-K50,0)</f>
        <v>0</v>
      </c>
      <c r="M50" s="112"/>
      <c r="N50" s="53">
        <f t="shared" ref="N50:N73" si="15">IF(M50&lt;&gt;0,+H50-M50,0)</f>
        <v>0</v>
      </c>
      <c r="O50" s="53">
        <f t="shared" ref="O50:O73" si="16">+N50-L50</f>
        <v>0</v>
      </c>
      <c r="P50" s="1"/>
      <c r="R50" s="1"/>
      <c r="S50" s="1"/>
      <c r="T50" s="1"/>
      <c r="U50" s="1"/>
    </row>
    <row r="51" spans="2:21">
      <c r="B51" t="str">
        <f t="shared" si="11"/>
        <v/>
      </c>
      <c r="C51" s="49">
        <f t="shared" si="9"/>
        <v>2046</v>
      </c>
      <c r="D51" s="54"/>
      <c r="E51" s="377">
        <f t="shared" si="10"/>
        <v>0</v>
      </c>
      <c r="F51" s="54">
        <f t="shared" si="12"/>
        <v>0</v>
      </c>
      <c r="G51" s="378">
        <f t="shared" si="6"/>
        <v>0</v>
      </c>
      <c r="H51" s="359">
        <f t="shared" si="7"/>
        <v>0</v>
      </c>
      <c r="I51" s="51">
        <f t="shared" si="13"/>
        <v>0</v>
      </c>
      <c r="J51" s="51"/>
      <c r="K51" s="112"/>
      <c r="L51" s="53">
        <f t="shared" si="14"/>
        <v>0</v>
      </c>
      <c r="M51" s="112"/>
      <c r="N51" s="53">
        <f t="shared" si="15"/>
        <v>0</v>
      </c>
      <c r="O51" s="53">
        <f t="shared" si="16"/>
        <v>0</v>
      </c>
      <c r="P51" s="1"/>
      <c r="R51" s="1"/>
      <c r="S51" s="1"/>
      <c r="T51" s="1"/>
      <c r="U51" s="1"/>
    </row>
    <row r="52" spans="2:21">
      <c r="B52" t="str">
        <f t="shared" si="11"/>
        <v/>
      </c>
      <c r="C52" s="49">
        <f t="shared" si="9"/>
        <v>2047</v>
      </c>
      <c r="D52" s="54"/>
      <c r="E52" s="377">
        <f t="shared" si="10"/>
        <v>0</v>
      </c>
      <c r="F52" s="54">
        <f t="shared" si="12"/>
        <v>0</v>
      </c>
      <c r="G52" s="378">
        <f t="shared" si="6"/>
        <v>0</v>
      </c>
      <c r="H52" s="359">
        <f t="shared" si="7"/>
        <v>0</v>
      </c>
      <c r="I52" s="51">
        <f t="shared" si="13"/>
        <v>0</v>
      </c>
      <c r="J52" s="51"/>
      <c r="K52" s="112"/>
      <c r="L52" s="53">
        <f t="shared" si="14"/>
        <v>0</v>
      </c>
      <c r="M52" s="112"/>
      <c r="N52" s="53">
        <f t="shared" si="15"/>
        <v>0</v>
      </c>
      <c r="O52" s="53">
        <f t="shared" si="16"/>
        <v>0</v>
      </c>
      <c r="P52" s="1"/>
      <c r="R52" s="1"/>
      <c r="S52" s="1"/>
      <c r="T52" s="1"/>
      <c r="U52" s="1"/>
    </row>
    <row r="53" spans="2:21">
      <c r="B53" t="str">
        <f t="shared" si="11"/>
        <v/>
      </c>
      <c r="C53" s="49">
        <f t="shared" si="9"/>
        <v>2048</v>
      </c>
      <c r="D53" s="54"/>
      <c r="E53" s="377">
        <f t="shared" si="10"/>
        <v>0</v>
      </c>
      <c r="F53" s="54">
        <f t="shared" si="12"/>
        <v>0</v>
      </c>
      <c r="G53" s="378">
        <f t="shared" si="6"/>
        <v>0</v>
      </c>
      <c r="H53" s="359">
        <f t="shared" si="7"/>
        <v>0</v>
      </c>
      <c r="I53" s="51">
        <f t="shared" si="13"/>
        <v>0</v>
      </c>
      <c r="J53" s="51"/>
      <c r="K53" s="112"/>
      <c r="L53" s="53">
        <f t="shared" si="14"/>
        <v>0</v>
      </c>
      <c r="M53" s="112"/>
      <c r="N53" s="53">
        <f t="shared" si="15"/>
        <v>0</v>
      </c>
      <c r="O53" s="53">
        <f t="shared" si="16"/>
        <v>0</v>
      </c>
      <c r="P53" s="1"/>
      <c r="R53" s="1"/>
      <c r="S53" s="1"/>
      <c r="T53" s="1"/>
      <c r="U53" s="1"/>
    </row>
    <row r="54" spans="2:21">
      <c r="B54" t="str">
        <f t="shared" si="11"/>
        <v/>
      </c>
      <c r="C54" s="49">
        <f t="shared" si="9"/>
        <v>2049</v>
      </c>
      <c r="D54" s="54"/>
      <c r="E54" s="377">
        <f t="shared" si="10"/>
        <v>0</v>
      </c>
      <c r="F54" s="54">
        <f t="shared" si="12"/>
        <v>0</v>
      </c>
      <c r="G54" s="378">
        <f t="shared" si="6"/>
        <v>0</v>
      </c>
      <c r="H54" s="359">
        <f t="shared" si="7"/>
        <v>0</v>
      </c>
      <c r="I54" s="51">
        <f t="shared" si="13"/>
        <v>0</v>
      </c>
      <c r="J54" s="51"/>
      <c r="K54" s="112"/>
      <c r="L54" s="53">
        <f t="shared" si="14"/>
        <v>0</v>
      </c>
      <c r="M54" s="112"/>
      <c r="N54" s="53">
        <f t="shared" si="15"/>
        <v>0</v>
      </c>
      <c r="O54" s="53">
        <f t="shared" si="16"/>
        <v>0</v>
      </c>
      <c r="P54" s="1"/>
      <c r="R54" s="1"/>
      <c r="S54" s="1"/>
      <c r="T54" s="1"/>
      <c r="U54" s="1"/>
    </row>
    <row r="55" spans="2:21">
      <c r="B55" t="str">
        <f t="shared" si="11"/>
        <v/>
      </c>
      <c r="C55" s="49">
        <f t="shared" si="9"/>
        <v>2050</v>
      </c>
      <c r="D55" s="54"/>
      <c r="E55" s="377">
        <f t="shared" si="10"/>
        <v>0</v>
      </c>
      <c r="F55" s="54">
        <f t="shared" si="12"/>
        <v>0</v>
      </c>
      <c r="G55" s="378">
        <f t="shared" si="6"/>
        <v>0</v>
      </c>
      <c r="H55" s="359">
        <f t="shared" si="7"/>
        <v>0</v>
      </c>
      <c r="I55" s="51">
        <f t="shared" si="13"/>
        <v>0</v>
      </c>
      <c r="J55" s="51"/>
      <c r="K55" s="112"/>
      <c r="L55" s="53">
        <f t="shared" si="14"/>
        <v>0</v>
      </c>
      <c r="M55" s="112"/>
      <c r="N55" s="53">
        <f t="shared" si="15"/>
        <v>0</v>
      </c>
      <c r="O55" s="53">
        <f t="shared" si="16"/>
        <v>0</v>
      </c>
      <c r="P55" s="1"/>
      <c r="R55" s="1"/>
      <c r="S55" s="1"/>
      <c r="T55" s="1"/>
      <c r="U55" s="1"/>
    </row>
    <row r="56" spans="2:21">
      <c r="B56" t="str">
        <f t="shared" si="11"/>
        <v/>
      </c>
      <c r="C56" s="49">
        <f t="shared" si="9"/>
        <v>2051</v>
      </c>
      <c r="D56" s="54"/>
      <c r="E56" s="377">
        <f t="shared" si="10"/>
        <v>0</v>
      </c>
      <c r="F56" s="54">
        <f t="shared" si="12"/>
        <v>0</v>
      </c>
      <c r="G56" s="378">
        <f t="shared" si="6"/>
        <v>0</v>
      </c>
      <c r="H56" s="359">
        <f t="shared" si="7"/>
        <v>0</v>
      </c>
      <c r="I56" s="51">
        <f t="shared" si="13"/>
        <v>0</v>
      </c>
      <c r="J56" s="51"/>
      <c r="K56" s="112"/>
      <c r="L56" s="53">
        <f t="shared" si="14"/>
        <v>0</v>
      </c>
      <c r="M56" s="112"/>
      <c r="N56" s="53">
        <f t="shared" si="15"/>
        <v>0</v>
      </c>
      <c r="O56" s="53">
        <f t="shared" si="16"/>
        <v>0</v>
      </c>
      <c r="P56" s="1"/>
      <c r="R56" s="1"/>
      <c r="S56" s="1"/>
      <c r="T56" s="1"/>
      <c r="U56" s="1"/>
    </row>
    <row r="57" spans="2:21">
      <c r="B57" t="str">
        <f t="shared" si="11"/>
        <v/>
      </c>
      <c r="C57" s="49">
        <f t="shared" si="9"/>
        <v>2052</v>
      </c>
      <c r="D57" s="54"/>
      <c r="E57" s="377">
        <f t="shared" si="10"/>
        <v>0</v>
      </c>
      <c r="F57" s="54">
        <f t="shared" si="12"/>
        <v>0</v>
      </c>
      <c r="G57" s="378">
        <f t="shared" si="6"/>
        <v>0</v>
      </c>
      <c r="H57" s="359">
        <f t="shared" si="7"/>
        <v>0</v>
      </c>
      <c r="I57" s="51">
        <f t="shared" si="13"/>
        <v>0</v>
      </c>
      <c r="J57" s="51"/>
      <c r="K57" s="112"/>
      <c r="L57" s="53">
        <f t="shared" si="14"/>
        <v>0</v>
      </c>
      <c r="M57" s="112"/>
      <c r="N57" s="53">
        <f t="shared" si="15"/>
        <v>0</v>
      </c>
      <c r="O57" s="53">
        <f t="shared" si="16"/>
        <v>0</v>
      </c>
      <c r="P57" s="1"/>
      <c r="R57" s="1"/>
      <c r="S57" s="1"/>
      <c r="T57" s="1"/>
      <c r="U57" s="1"/>
    </row>
    <row r="58" spans="2:21">
      <c r="B58" t="str">
        <f t="shared" si="11"/>
        <v/>
      </c>
      <c r="C58" s="49">
        <f t="shared" si="9"/>
        <v>2053</v>
      </c>
      <c r="D58" s="54"/>
      <c r="E58" s="377">
        <f t="shared" si="10"/>
        <v>0</v>
      </c>
      <c r="F58" s="54">
        <f t="shared" si="12"/>
        <v>0</v>
      </c>
      <c r="G58" s="378">
        <f t="shared" si="6"/>
        <v>0</v>
      </c>
      <c r="H58" s="359">
        <f t="shared" si="7"/>
        <v>0</v>
      </c>
      <c r="I58" s="51">
        <f t="shared" si="13"/>
        <v>0</v>
      </c>
      <c r="J58" s="51"/>
      <c r="K58" s="112"/>
      <c r="L58" s="53">
        <f t="shared" si="14"/>
        <v>0</v>
      </c>
      <c r="M58" s="112"/>
      <c r="N58" s="53">
        <f t="shared" si="15"/>
        <v>0</v>
      </c>
      <c r="O58" s="53">
        <f t="shared" si="16"/>
        <v>0</v>
      </c>
      <c r="P58" s="1"/>
      <c r="R58" s="1"/>
      <c r="S58" s="1"/>
      <c r="T58" s="1"/>
      <c r="U58" s="1"/>
    </row>
    <row r="59" spans="2:21">
      <c r="B59" t="str">
        <f t="shared" si="11"/>
        <v/>
      </c>
      <c r="C59" s="49">
        <f t="shared" si="9"/>
        <v>2054</v>
      </c>
      <c r="D59" s="54"/>
      <c r="E59" s="377">
        <f t="shared" si="10"/>
        <v>0</v>
      </c>
      <c r="F59" s="54">
        <f t="shared" si="12"/>
        <v>0</v>
      </c>
      <c r="G59" s="378">
        <f t="shared" si="6"/>
        <v>0</v>
      </c>
      <c r="H59" s="359">
        <f t="shared" si="7"/>
        <v>0</v>
      </c>
      <c r="I59" s="51">
        <f t="shared" si="13"/>
        <v>0</v>
      </c>
      <c r="J59" s="51"/>
      <c r="K59" s="112"/>
      <c r="L59" s="53">
        <f t="shared" si="14"/>
        <v>0</v>
      </c>
      <c r="M59" s="112"/>
      <c r="N59" s="53">
        <f t="shared" si="15"/>
        <v>0</v>
      </c>
      <c r="O59" s="53">
        <f t="shared" si="16"/>
        <v>0</v>
      </c>
      <c r="P59" s="1"/>
      <c r="R59" s="1"/>
      <c r="S59" s="1"/>
      <c r="T59" s="1"/>
      <c r="U59" s="1"/>
    </row>
    <row r="60" spans="2:21">
      <c r="B60" t="str">
        <f t="shared" si="11"/>
        <v/>
      </c>
      <c r="C60" s="49">
        <f t="shared" si="9"/>
        <v>2055</v>
      </c>
      <c r="D60" s="54"/>
      <c r="E60" s="377">
        <f t="shared" si="10"/>
        <v>0</v>
      </c>
      <c r="F60" s="54">
        <f t="shared" si="12"/>
        <v>0</v>
      </c>
      <c r="G60" s="378">
        <f t="shared" si="6"/>
        <v>0</v>
      </c>
      <c r="H60" s="359">
        <f t="shared" si="7"/>
        <v>0</v>
      </c>
      <c r="I60" s="51">
        <f t="shared" si="13"/>
        <v>0</v>
      </c>
      <c r="J60" s="51"/>
      <c r="K60" s="112"/>
      <c r="L60" s="53">
        <f t="shared" si="14"/>
        <v>0</v>
      </c>
      <c r="M60" s="112"/>
      <c r="N60" s="53">
        <f t="shared" si="15"/>
        <v>0</v>
      </c>
      <c r="O60" s="53">
        <f t="shared" si="16"/>
        <v>0</v>
      </c>
      <c r="P60" s="1"/>
      <c r="R60" s="1"/>
      <c r="S60" s="1"/>
      <c r="T60" s="1"/>
      <c r="U60" s="1"/>
    </row>
    <row r="61" spans="2:21">
      <c r="B61" t="str">
        <f t="shared" si="11"/>
        <v/>
      </c>
      <c r="C61" s="49">
        <f t="shared" si="9"/>
        <v>2056</v>
      </c>
      <c r="D61" s="54"/>
      <c r="E61" s="377">
        <f t="shared" si="10"/>
        <v>0</v>
      </c>
      <c r="F61" s="54">
        <f t="shared" si="12"/>
        <v>0</v>
      </c>
      <c r="G61" s="378">
        <f t="shared" si="6"/>
        <v>0</v>
      </c>
      <c r="H61" s="359">
        <f t="shared" si="7"/>
        <v>0</v>
      </c>
      <c r="I61" s="51">
        <f t="shared" si="13"/>
        <v>0</v>
      </c>
      <c r="J61" s="51"/>
      <c r="K61" s="112"/>
      <c r="L61" s="53">
        <f t="shared" si="14"/>
        <v>0</v>
      </c>
      <c r="M61" s="112"/>
      <c r="N61" s="53">
        <f t="shared" si="15"/>
        <v>0</v>
      </c>
      <c r="O61" s="53">
        <f t="shared" si="16"/>
        <v>0</v>
      </c>
      <c r="P61" s="1"/>
      <c r="R61" s="1"/>
      <c r="S61" s="1"/>
      <c r="T61" s="1"/>
      <c r="U61" s="1"/>
    </row>
    <row r="62" spans="2:21">
      <c r="B62" t="str">
        <f t="shared" si="11"/>
        <v/>
      </c>
      <c r="C62" s="49">
        <f t="shared" si="9"/>
        <v>2057</v>
      </c>
      <c r="D62" s="54"/>
      <c r="E62" s="377">
        <f t="shared" si="10"/>
        <v>0</v>
      </c>
      <c r="F62" s="54">
        <f t="shared" si="12"/>
        <v>0</v>
      </c>
      <c r="G62" s="388">
        <f t="shared" si="6"/>
        <v>0</v>
      </c>
      <c r="H62" s="359">
        <f t="shared" si="7"/>
        <v>0</v>
      </c>
      <c r="I62" s="51">
        <f t="shared" si="13"/>
        <v>0</v>
      </c>
      <c r="J62" s="51"/>
      <c r="K62" s="112"/>
      <c r="L62" s="53">
        <f t="shared" si="14"/>
        <v>0</v>
      </c>
      <c r="M62" s="112"/>
      <c r="N62" s="53">
        <f t="shared" si="15"/>
        <v>0</v>
      </c>
      <c r="O62" s="53">
        <f t="shared" si="16"/>
        <v>0</v>
      </c>
      <c r="P62" s="1"/>
      <c r="R62" s="1"/>
      <c r="S62" s="1"/>
      <c r="T62" s="1"/>
      <c r="U62" s="1"/>
    </row>
    <row r="63" spans="2:21">
      <c r="B63" t="str">
        <f t="shared" si="11"/>
        <v/>
      </c>
      <c r="C63" s="49">
        <f t="shared" si="9"/>
        <v>2058</v>
      </c>
      <c r="D63" s="54"/>
      <c r="E63" s="377">
        <f t="shared" si="10"/>
        <v>0</v>
      </c>
      <c r="F63" s="54">
        <f t="shared" si="12"/>
        <v>0</v>
      </c>
      <c r="G63" s="388">
        <f t="shared" si="6"/>
        <v>0</v>
      </c>
      <c r="H63" s="359">
        <f t="shared" si="7"/>
        <v>0</v>
      </c>
      <c r="I63" s="51">
        <f t="shared" si="13"/>
        <v>0</v>
      </c>
      <c r="J63" s="51"/>
      <c r="K63" s="112"/>
      <c r="L63" s="53">
        <f t="shared" si="14"/>
        <v>0</v>
      </c>
      <c r="M63" s="112"/>
      <c r="N63" s="53">
        <f t="shared" si="15"/>
        <v>0</v>
      </c>
      <c r="O63" s="53">
        <f t="shared" si="16"/>
        <v>0</v>
      </c>
      <c r="P63" s="1"/>
      <c r="R63" s="1"/>
      <c r="S63" s="1"/>
      <c r="T63" s="1"/>
      <c r="U63" s="1"/>
    </row>
    <row r="64" spans="2:21">
      <c r="B64" t="str">
        <f t="shared" si="11"/>
        <v/>
      </c>
      <c r="C64" s="49">
        <f t="shared" si="9"/>
        <v>2059</v>
      </c>
      <c r="D64" s="54"/>
      <c r="E64" s="377">
        <f t="shared" si="10"/>
        <v>0</v>
      </c>
      <c r="F64" s="54">
        <f t="shared" si="12"/>
        <v>0</v>
      </c>
      <c r="G64" s="388">
        <f t="shared" si="6"/>
        <v>0</v>
      </c>
      <c r="H64" s="359">
        <f t="shared" si="7"/>
        <v>0</v>
      </c>
      <c r="I64" s="51">
        <f t="shared" si="13"/>
        <v>0</v>
      </c>
      <c r="J64" s="51"/>
      <c r="K64" s="112"/>
      <c r="L64" s="53">
        <f t="shared" si="14"/>
        <v>0</v>
      </c>
      <c r="M64" s="112"/>
      <c r="N64" s="53">
        <f t="shared" si="15"/>
        <v>0</v>
      </c>
      <c r="O64" s="53">
        <f t="shared" si="16"/>
        <v>0</v>
      </c>
      <c r="P64" s="1"/>
      <c r="R64" s="1"/>
      <c r="S64" s="1"/>
      <c r="T64" s="1"/>
      <c r="U64" s="1"/>
    </row>
    <row r="65" spans="2:21">
      <c r="B65" t="str">
        <f t="shared" si="11"/>
        <v/>
      </c>
      <c r="C65" s="49">
        <f t="shared" si="9"/>
        <v>2060</v>
      </c>
      <c r="D65" s="54"/>
      <c r="E65" s="377">
        <f t="shared" si="10"/>
        <v>0</v>
      </c>
      <c r="F65" s="54">
        <f t="shared" si="12"/>
        <v>0</v>
      </c>
      <c r="G65" s="388">
        <f t="shared" si="6"/>
        <v>0</v>
      </c>
      <c r="H65" s="359">
        <f t="shared" si="7"/>
        <v>0</v>
      </c>
      <c r="I65" s="51">
        <f t="shared" si="13"/>
        <v>0</v>
      </c>
      <c r="J65" s="51"/>
      <c r="K65" s="112"/>
      <c r="L65" s="53">
        <f t="shared" si="14"/>
        <v>0</v>
      </c>
      <c r="M65" s="112"/>
      <c r="N65" s="53">
        <f t="shared" si="15"/>
        <v>0</v>
      </c>
      <c r="O65" s="53">
        <f t="shared" si="16"/>
        <v>0</v>
      </c>
      <c r="P65" s="1"/>
      <c r="R65" s="1"/>
      <c r="S65" s="1"/>
      <c r="T65" s="1"/>
      <c r="U65" s="1"/>
    </row>
    <row r="66" spans="2:21">
      <c r="B66" t="str">
        <f t="shared" si="11"/>
        <v/>
      </c>
      <c r="C66" s="49">
        <f t="shared" si="9"/>
        <v>2061</v>
      </c>
      <c r="D66" s="54"/>
      <c r="E66" s="377">
        <f t="shared" si="10"/>
        <v>0</v>
      </c>
      <c r="F66" s="54">
        <f t="shared" si="12"/>
        <v>0</v>
      </c>
      <c r="G66" s="388">
        <f t="shared" si="6"/>
        <v>0</v>
      </c>
      <c r="H66" s="359">
        <f t="shared" si="7"/>
        <v>0</v>
      </c>
      <c r="I66" s="51">
        <f t="shared" si="13"/>
        <v>0</v>
      </c>
      <c r="J66" s="51"/>
      <c r="K66" s="112"/>
      <c r="L66" s="53">
        <f t="shared" si="14"/>
        <v>0</v>
      </c>
      <c r="M66" s="112"/>
      <c r="N66" s="53">
        <f t="shared" si="15"/>
        <v>0</v>
      </c>
      <c r="O66" s="53">
        <f t="shared" si="16"/>
        <v>0</v>
      </c>
      <c r="P66" s="1"/>
      <c r="R66" s="1"/>
      <c r="S66" s="1"/>
      <c r="T66" s="1"/>
      <c r="U66" s="1"/>
    </row>
    <row r="67" spans="2:21">
      <c r="B67" t="str">
        <f t="shared" si="11"/>
        <v/>
      </c>
      <c r="C67" s="49">
        <f t="shared" si="9"/>
        <v>2062</v>
      </c>
      <c r="D67" s="54"/>
      <c r="E67" s="377">
        <f t="shared" si="10"/>
        <v>0</v>
      </c>
      <c r="F67" s="54">
        <f t="shared" si="12"/>
        <v>0</v>
      </c>
      <c r="G67" s="388">
        <f t="shared" si="6"/>
        <v>0</v>
      </c>
      <c r="H67" s="359">
        <f t="shared" si="7"/>
        <v>0</v>
      </c>
      <c r="I67" s="51">
        <f t="shared" si="13"/>
        <v>0</v>
      </c>
      <c r="J67" s="51"/>
      <c r="K67" s="112"/>
      <c r="L67" s="53">
        <f t="shared" si="14"/>
        <v>0</v>
      </c>
      <c r="M67" s="112"/>
      <c r="N67" s="53">
        <f t="shared" si="15"/>
        <v>0</v>
      </c>
      <c r="O67" s="53">
        <f t="shared" si="16"/>
        <v>0</v>
      </c>
      <c r="P67" s="1"/>
      <c r="R67" s="1"/>
      <c r="S67" s="1"/>
      <c r="T67" s="1"/>
      <c r="U67" s="1"/>
    </row>
    <row r="68" spans="2:21">
      <c r="B68" t="str">
        <f t="shared" si="11"/>
        <v/>
      </c>
      <c r="C68" s="49">
        <f t="shared" si="9"/>
        <v>2063</v>
      </c>
      <c r="D68" s="54"/>
      <c r="E68" s="377">
        <f t="shared" si="10"/>
        <v>0</v>
      </c>
      <c r="F68" s="54">
        <f t="shared" si="12"/>
        <v>0</v>
      </c>
      <c r="G68" s="388">
        <f t="shared" si="6"/>
        <v>0</v>
      </c>
      <c r="H68" s="359">
        <f t="shared" si="7"/>
        <v>0</v>
      </c>
      <c r="I68" s="51">
        <f t="shared" si="13"/>
        <v>0</v>
      </c>
      <c r="J68" s="51"/>
      <c r="K68" s="112"/>
      <c r="L68" s="53">
        <f t="shared" si="14"/>
        <v>0</v>
      </c>
      <c r="M68" s="112"/>
      <c r="N68" s="53">
        <f t="shared" si="15"/>
        <v>0</v>
      </c>
      <c r="O68" s="53">
        <f t="shared" si="16"/>
        <v>0</v>
      </c>
      <c r="P68" s="1"/>
      <c r="R68" s="1"/>
      <c r="S68" s="1"/>
      <c r="T68" s="1"/>
      <c r="U68" s="1"/>
    </row>
    <row r="69" spans="2:21">
      <c r="B69" t="str">
        <f t="shared" si="11"/>
        <v/>
      </c>
      <c r="C69" s="49">
        <f t="shared" si="9"/>
        <v>2064</v>
      </c>
      <c r="D69" s="54"/>
      <c r="E69" s="377">
        <f t="shared" si="10"/>
        <v>0</v>
      </c>
      <c r="F69" s="54">
        <f t="shared" si="12"/>
        <v>0</v>
      </c>
      <c r="G69" s="388">
        <f t="shared" si="6"/>
        <v>0</v>
      </c>
      <c r="H69" s="359">
        <f t="shared" si="7"/>
        <v>0</v>
      </c>
      <c r="I69" s="51">
        <f t="shared" si="13"/>
        <v>0</v>
      </c>
      <c r="J69" s="51"/>
      <c r="K69" s="112"/>
      <c r="L69" s="53">
        <f t="shared" si="14"/>
        <v>0</v>
      </c>
      <c r="M69" s="112"/>
      <c r="N69" s="53">
        <f t="shared" si="15"/>
        <v>0</v>
      </c>
      <c r="O69" s="53">
        <f t="shared" si="16"/>
        <v>0</v>
      </c>
      <c r="P69" s="1"/>
      <c r="R69" s="1"/>
      <c r="S69" s="1"/>
      <c r="T69" s="1"/>
      <c r="U69" s="1"/>
    </row>
    <row r="70" spans="2:21">
      <c r="B70" t="str">
        <f t="shared" si="11"/>
        <v/>
      </c>
      <c r="C70" s="49">
        <f t="shared" si="9"/>
        <v>2065</v>
      </c>
      <c r="D70" s="54"/>
      <c r="E70" s="377">
        <f t="shared" si="10"/>
        <v>0</v>
      </c>
      <c r="F70" s="54">
        <f t="shared" si="12"/>
        <v>0</v>
      </c>
      <c r="G70" s="388">
        <f t="shared" si="6"/>
        <v>0</v>
      </c>
      <c r="H70" s="359">
        <f t="shared" si="7"/>
        <v>0</v>
      </c>
      <c r="I70" s="51">
        <f t="shared" si="13"/>
        <v>0</v>
      </c>
      <c r="J70" s="51"/>
      <c r="K70" s="112"/>
      <c r="L70" s="53">
        <f t="shared" si="14"/>
        <v>0</v>
      </c>
      <c r="M70" s="112"/>
      <c r="N70" s="53">
        <f t="shared" si="15"/>
        <v>0</v>
      </c>
      <c r="O70" s="53">
        <f t="shared" si="16"/>
        <v>0</v>
      </c>
      <c r="P70" s="1"/>
      <c r="R70" s="1"/>
      <c r="S70" s="1"/>
      <c r="T70" s="1"/>
      <c r="U70" s="1"/>
    </row>
    <row r="71" spans="2:21">
      <c r="B71" t="str">
        <f t="shared" si="11"/>
        <v/>
      </c>
      <c r="C71" s="49">
        <f t="shared" si="9"/>
        <v>2066</v>
      </c>
      <c r="D71" s="54"/>
      <c r="E71" s="377">
        <f t="shared" si="10"/>
        <v>0</v>
      </c>
      <c r="F71" s="54">
        <f t="shared" si="12"/>
        <v>0</v>
      </c>
      <c r="G71" s="388">
        <f t="shared" si="6"/>
        <v>0</v>
      </c>
      <c r="H71" s="359">
        <f t="shared" si="7"/>
        <v>0</v>
      </c>
      <c r="I71" s="51">
        <f t="shared" si="13"/>
        <v>0</v>
      </c>
      <c r="J71" s="51"/>
      <c r="K71" s="112"/>
      <c r="L71" s="53">
        <f t="shared" si="14"/>
        <v>0</v>
      </c>
      <c r="M71" s="112"/>
      <c r="N71" s="53">
        <f t="shared" si="15"/>
        <v>0</v>
      </c>
      <c r="O71" s="53">
        <f t="shared" si="16"/>
        <v>0</v>
      </c>
      <c r="P71" s="1"/>
      <c r="R71" s="1"/>
      <c r="S71" s="1"/>
      <c r="T71" s="1"/>
      <c r="U71" s="1"/>
    </row>
    <row r="72" spans="2:21">
      <c r="B72" t="str">
        <f t="shared" si="11"/>
        <v/>
      </c>
      <c r="C72" s="49">
        <f t="shared" si="9"/>
        <v>2067</v>
      </c>
      <c r="D72" s="54"/>
      <c r="E72" s="377">
        <f t="shared" si="10"/>
        <v>0</v>
      </c>
      <c r="F72" s="54">
        <f t="shared" si="12"/>
        <v>0</v>
      </c>
      <c r="G72" s="388">
        <f t="shared" si="6"/>
        <v>0</v>
      </c>
      <c r="H72" s="359">
        <f t="shared" si="7"/>
        <v>0</v>
      </c>
      <c r="I72" s="51">
        <f t="shared" si="13"/>
        <v>0</v>
      </c>
      <c r="J72" s="51"/>
      <c r="K72" s="112"/>
      <c r="L72" s="53">
        <f t="shared" si="14"/>
        <v>0</v>
      </c>
      <c r="M72" s="112"/>
      <c r="N72" s="53">
        <f t="shared" si="15"/>
        <v>0</v>
      </c>
      <c r="O72" s="53">
        <f t="shared" si="16"/>
        <v>0</v>
      </c>
      <c r="P72" s="1"/>
      <c r="R72" s="1"/>
      <c r="S72" s="1"/>
      <c r="T72" s="1"/>
      <c r="U72" s="1"/>
    </row>
    <row r="73" spans="2:21" ht="13.5" thickBot="1">
      <c r="B73" t="str">
        <f t="shared" si="11"/>
        <v/>
      </c>
      <c r="C73" s="58">
        <f t="shared" si="9"/>
        <v>2068</v>
      </c>
      <c r="D73" s="59"/>
      <c r="E73" s="389">
        <f t="shared" si="10"/>
        <v>0</v>
      </c>
      <c r="F73" s="59">
        <f t="shared" si="12"/>
        <v>0</v>
      </c>
      <c r="G73" s="390">
        <f t="shared" si="6"/>
        <v>0</v>
      </c>
      <c r="H73" s="357">
        <f t="shared" si="7"/>
        <v>0</v>
      </c>
      <c r="I73" s="62">
        <f t="shared" si="13"/>
        <v>0</v>
      </c>
      <c r="J73" s="51"/>
      <c r="K73" s="113"/>
      <c r="L73" s="63">
        <f t="shared" si="14"/>
        <v>0</v>
      </c>
      <c r="M73" s="113"/>
      <c r="N73" s="63">
        <f t="shared" si="15"/>
        <v>0</v>
      </c>
      <c r="O73" s="63">
        <f t="shared" si="16"/>
        <v>0</v>
      </c>
      <c r="P73" s="1"/>
      <c r="R73" s="1"/>
      <c r="S73" s="1"/>
      <c r="T73" s="1"/>
      <c r="U73" s="1"/>
    </row>
    <row r="74" spans="2:21">
      <c r="C74" s="11" t="s">
        <v>75</v>
      </c>
      <c r="D74" s="242"/>
      <c r="E74" s="242">
        <f>SUM(E17:E73)</f>
        <v>45573.039110189922</v>
      </c>
      <c r="F74" s="242"/>
      <c r="G74" s="242">
        <f>SUM(G17:G73)</f>
        <v>423078.95453720703</v>
      </c>
      <c r="H74" s="242">
        <f>SUM(H17:H73)</f>
        <v>423078.95453720703</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5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0</v>
      </c>
      <c r="N88" s="396">
        <f>IF(J93&lt;D11,0,VLOOKUP(J93,C17:O73,11))</f>
        <v>0</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0</v>
      </c>
      <c r="N89" s="399">
        <f>IF(J93&lt;D11,0,VLOOKUP(J93,C100:P155,7))</f>
        <v>0</v>
      </c>
      <c r="O89" s="70">
        <f>+N89-M89</f>
        <v>0</v>
      </c>
      <c r="P89" s="1"/>
      <c r="Q89" s="1"/>
      <c r="R89" s="1"/>
      <c r="S89" s="1"/>
      <c r="T89" s="1"/>
      <c r="U89" s="1"/>
    </row>
    <row r="90" spans="1:21" ht="13.5" thickBot="1">
      <c r="C90" s="25" t="s">
        <v>82</v>
      </c>
      <c r="D90" s="96" t="str">
        <f>+D7</f>
        <v>Install 345kV terminal at Valliant***</v>
      </c>
      <c r="E90" s="1"/>
      <c r="F90" s="1"/>
      <c r="G90" s="1"/>
      <c r="H90" s="1"/>
      <c r="I90" s="260"/>
      <c r="J90" s="260"/>
      <c r="K90" s="400"/>
      <c r="L90" s="109" t="s">
        <v>135</v>
      </c>
      <c r="M90" s="401">
        <f>+M89-M88</f>
        <v>0</v>
      </c>
      <c r="N90" s="401">
        <f>+N89-N88</f>
        <v>0</v>
      </c>
      <c r="O90" s="402">
        <f>+O89-O88</f>
        <v>0</v>
      </c>
      <c r="P90" s="1"/>
      <c r="Q90" s="1"/>
      <c r="R90" s="1"/>
      <c r="S90" s="1"/>
      <c r="T90" s="1"/>
      <c r="U90" s="1"/>
    </row>
    <row r="91" spans="1:21" ht="13.5" thickBot="1">
      <c r="C91" s="29"/>
      <c r="D91" s="97" t="s">
        <v>210</v>
      </c>
      <c r="E91" s="11"/>
      <c r="F91" s="11"/>
      <c r="G91" s="11"/>
      <c r="H91" s="10"/>
      <c r="I91" s="260"/>
      <c r="J91" s="260"/>
      <c r="K91" s="242"/>
      <c r="L91" s="260"/>
      <c r="M91" s="260"/>
      <c r="N91" s="260"/>
      <c r="O91" s="242"/>
      <c r="P91" s="1"/>
      <c r="Q91" s="1"/>
      <c r="R91" s="1"/>
      <c r="S91" s="1"/>
      <c r="T91" s="1"/>
      <c r="U91" s="1"/>
    </row>
    <row r="92" spans="1:21" ht="13.5" thickBot="1">
      <c r="C92" s="74" t="s">
        <v>83</v>
      </c>
      <c r="D92" s="88" t="str">
        <f>+D9</f>
        <v>TP2007167</v>
      </c>
      <c r="E92" s="75" t="s">
        <v>310</v>
      </c>
      <c r="F92" s="527">
        <f>F9</f>
        <v>288</v>
      </c>
      <c r="G92" s="75"/>
      <c r="H92" s="75"/>
      <c r="I92" s="75"/>
      <c r="J92" s="75"/>
      <c r="Q92" s="1"/>
      <c r="R92" s="1"/>
      <c r="S92" s="1"/>
      <c r="T92" s="1"/>
      <c r="U92" s="1"/>
    </row>
    <row r="93" spans="1:21">
      <c r="C93" s="34" t="s">
        <v>49</v>
      </c>
      <c r="D93" s="531">
        <v>0</v>
      </c>
      <c r="E93" s="1" t="s">
        <v>84</v>
      </c>
      <c r="H93" s="2"/>
      <c r="I93" s="2"/>
      <c r="J93" s="36">
        <f>+'OKT.WS.G.BPU.ATRR.True-up'!M16</f>
        <v>2025</v>
      </c>
      <c r="K93" s="33"/>
      <c r="L93" s="242" t="s">
        <v>85</v>
      </c>
      <c r="P93" s="1"/>
      <c r="Q93" s="1"/>
      <c r="R93" s="1"/>
      <c r="S93" s="1"/>
      <c r="T93" s="1"/>
      <c r="U93" s="1"/>
    </row>
    <row r="94" spans="1:21">
      <c r="C94" s="34" t="s">
        <v>52</v>
      </c>
      <c r="D94" s="85">
        <f>IF(D11=I10,"",D11)</f>
        <v>2012</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85">
        <f>IF(D11=I10,"",D12)</f>
        <v>4</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0</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0" t="s">
        <v>177</v>
      </c>
      <c r="M98" s="365" t="s">
        <v>89</v>
      </c>
      <c r="N98" s="360" t="s">
        <v>177</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B100" t="str">
        <f t="shared" ref="B100:B131" si="17">IF(D100=F99,"","IU")</f>
        <v>IU</v>
      </c>
      <c r="C100" s="49">
        <f>IF(D94= "","-",D94)</f>
        <v>2012</v>
      </c>
      <c r="D100" s="11">
        <f>IF(D94=C100,0,IF(D93&lt;100000,0,D93))</f>
        <v>0</v>
      </c>
      <c r="E100" s="378">
        <f>IF(OR(D11=I10,D93&lt;100000),0,J97/12*(12-D95))</f>
        <v>0</v>
      </c>
      <c r="F100" s="54">
        <f>IF(D94=C100,+D93-E100,+D100-E100)</f>
        <v>0</v>
      </c>
      <c r="G100" s="81">
        <f t="shared" ref="G100:G131" si="18">+(F100+D100)/2</f>
        <v>0</v>
      </c>
      <c r="H100" s="81">
        <f t="shared" ref="H100:H131" si="19">+J$95*G100+E100</f>
        <v>0</v>
      </c>
      <c r="I100" s="81">
        <f t="shared" ref="I100:I131" si="20">+J$96*G100+E100</f>
        <v>0</v>
      </c>
      <c r="J100" s="53">
        <f t="shared" ref="J100:J131" si="21">+I100-H100</f>
        <v>0</v>
      </c>
      <c r="K100" s="53"/>
      <c r="L100" s="111"/>
      <c r="M100" s="52">
        <f t="shared" ref="M100:M131" si="22">IF(L100&lt;&gt;0,+H100-L100,0)</f>
        <v>0</v>
      </c>
      <c r="N100" s="111"/>
      <c r="O100" s="52">
        <f t="shared" ref="O100:O131" si="23">IF(N100&lt;&gt;0,+I100-N100,0)</f>
        <v>0</v>
      </c>
      <c r="P100" s="52">
        <f t="shared" ref="P100:P131" si="24">+O100-M100</f>
        <v>0</v>
      </c>
      <c r="Q100" s="1"/>
      <c r="R100" s="1"/>
      <c r="S100" s="1"/>
      <c r="T100" s="1"/>
      <c r="U100" s="1"/>
    </row>
    <row r="101" spans="1:21">
      <c r="B101" t="str">
        <f t="shared" si="17"/>
        <v/>
      </c>
      <c r="C101" s="49">
        <f>IF(D94="","-",+C100+1)</f>
        <v>2013</v>
      </c>
      <c r="D101" s="11">
        <f>IF(F100+SUM(E$100:E100)=D$93,F100,D$93-SUM(E$100:E100))</f>
        <v>0</v>
      </c>
      <c r="E101" s="377">
        <f>IF(+J97&lt;F100,J97,D101)</f>
        <v>0</v>
      </c>
      <c r="F101" s="54">
        <f t="shared" ref="F101:F132" si="25">+D101-E101</f>
        <v>0</v>
      </c>
      <c r="G101" s="54">
        <f t="shared" si="18"/>
        <v>0</v>
      </c>
      <c r="H101" s="388">
        <f t="shared" si="19"/>
        <v>0</v>
      </c>
      <c r="I101" s="407">
        <f t="shared" si="20"/>
        <v>0</v>
      </c>
      <c r="J101" s="53">
        <f t="shared" si="21"/>
        <v>0</v>
      </c>
      <c r="K101" s="53"/>
      <c r="L101" s="112"/>
      <c r="M101" s="53">
        <f t="shared" si="22"/>
        <v>0</v>
      </c>
      <c r="N101" s="112"/>
      <c r="O101" s="53">
        <f t="shared" si="23"/>
        <v>0</v>
      </c>
      <c r="P101" s="53">
        <f t="shared" si="24"/>
        <v>0</v>
      </c>
      <c r="Q101" s="1"/>
      <c r="R101" s="1"/>
      <c r="S101" s="1"/>
      <c r="T101" s="1"/>
      <c r="U101" s="1"/>
    </row>
    <row r="102" spans="1:21">
      <c r="B102" t="str">
        <f t="shared" si="17"/>
        <v/>
      </c>
      <c r="C102" s="49">
        <f>IF(D94="","-",+C101+1)</f>
        <v>2014</v>
      </c>
      <c r="D102" s="11">
        <f>IF(F101+SUM(E$100:E101)=D$93,F101,D$93-SUM(E$100:E101))</f>
        <v>0</v>
      </c>
      <c r="E102" s="377">
        <f>IF(+J97&lt;F101,J97,D102)</f>
        <v>0</v>
      </c>
      <c r="F102" s="54">
        <f t="shared" si="25"/>
        <v>0</v>
      </c>
      <c r="G102" s="54">
        <f t="shared" si="18"/>
        <v>0</v>
      </c>
      <c r="H102" s="388">
        <f t="shared" si="19"/>
        <v>0</v>
      </c>
      <c r="I102" s="407">
        <f t="shared" si="20"/>
        <v>0</v>
      </c>
      <c r="J102" s="53">
        <f t="shared" si="21"/>
        <v>0</v>
      </c>
      <c r="K102" s="53"/>
      <c r="L102" s="112"/>
      <c r="M102" s="53">
        <f t="shared" si="22"/>
        <v>0</v>
      </c>
      <c r="N102" s="112"/>
      <c r="O102" s="53">
        <f t="shared" si="23"/>
        <v>0</v>
      </c>
      <c r="P102" s="53">
        <f t="shared" si="24"/>
        <v>0</v>
      </c>
      <c r="Q102" s="1"/>
      <c r="R102" s="1"/>
      <c r="S102" s="1"/>
      <c r="T102" s="1"/>
      <c r="U102" s="1"/>
    </row>
    <row r="103" spans="1:21">
      <c r="B103" t="str">
        <f t="shared" si="17"/>
        <v/>
      </c>
      <c r="C103" s="49">
        <f>IF(D94="","-",+C102+1)</f>
        <v>2015</v>
      </c>
      <c r="D103" s="11">
        <f>IF(F102+SUM(E$100:E102)=D$93,F102,D$93-SUM(E$100:E102))</f>
        <v>0</v>
      </c>
      <c r="E103" s="377">
        <f>IF(+J97&lt;F102,J97,D103)</f>
        <v>0</v>
      </c>
      <c r="F103" s="54">
        <f t="shared" si="25"/>
        <v>0</v>
      </c>
      <c r="G103" s="54">
        <f t="shared" si="18"/>
        <v>0</v>
      </c>
      <c r="H103" s="388">
        <f t="shared" si="19"/>
        <v>0</v>
      </c>
      <c r="I103" s="407">
        <f t="shared" si="20"/>
        <v>0</v>
      </c>
      <c r="J103" s="53">
        <f t="shared" si="21"/>
        <v>0</v>
      </c>
      <c r="K103" s="53"/>
      <c r="L103" s="112"/>
      <c r="M103" s="53">
        <f t="shared" si="22"/>
        <v>0</v>
      </c>
      <c r="N103" s="112"/>
      <c r="O103" s="53">
        <f t="shared" si="23"/>
        <v>0</v>
      </c>
      <c r="P103" s="53">
        <f t="shared" si="24"/>
        <v>0</v>
      </c>
      <c r="Q103" s="1"/>
      <c r="R103" s="1"/>
      <c r="S103" s="1"/>
      <c r="T103" s="1"/>
      <c r="U103" s="1"/>
    </row>
    <row r="104" spans="1:21">
      <c r="B104" t="str">
        <f t="shared" si="17"/>
        <v/>
      </c>
      <c r="C104" s="49">
        <f>IF(D94="","-",+C103+1)</f>
        <v>2016</v>
      </c>
      <c r="D104" s="11">
        <f>IF(F103+SUM(E$100:E103)=D$93,F103,D$93-SUM(E$100:E103))</f>
        <v>0</v>
      </c>
      <c r="E104" s="377">
        <f>IF(+J97&lt;F103,J97,D104)</f>
        <v>0</v>
      </c>
      <c r="F104" s="54">
        <f t="shared" si="25"/>
        <v>0</v>
      </c>
      <c r="G104" s="54">
        <f t="shared" si="18"/>
        <v>0</v>
      </c>
      <c r="H104" s="388">
        <f t="shared" si="19"/>
        <v>0</v>
      </c>
      <c r="I104" s="407">
        <f t="shared" si="20"/>
        <v>0</v>
      </c>
      <c r="J104" s="53">
        <f t="shared" si="21"/>
        <v>0</v>
      </c>
      <c r="K104" s="53"/>
      <c r="L104" s="112"/>
      <c r="M104" s="53">
        <f t="shared" si="22"/>
        <v>0</v>
      </c>
      <c r="N104" s="112"/>
      <c r="O104" s="53">
        <f t="shared" si="23"/>
        <v>0</v>
      </c>
      <c r="P104" s="53">
        <f t="shared" si="24"/>
        <v>0</v>
      </c>
      <c r="Q104" s="1"/>
      <c r="R104" s="1"/>
      <c r="S104" s="1"/>
      <c r="T104" s="1"/>
      <c r="U104" s="1"/>
    </row>
    <row r="105" spans="1:21">
      <c r="B105" t="str">
        <f t="shared" si="17"/>
        <v/>
      </c>
      <c r="C105" s="49">
        <f>IF(D94="","-",+C104+1)</f>
        <v>2017</v>
      </c>
      <c r="D105" s="11">
        <f>IF(F104+SUM(E$100:E104)=D$93,F104,D$93-SUM(E$100:E104))</f>
        <v>0</v>
      </c>
      <c r="E105" s="377">
        <f>IF(+J97&lt;F104,J97,D105)</f>
        <v>0</v>
      </c>
      <c r="F105" s="54">
        <f t="shared" si="25"/>
        <v>0</v>
      </c>
      <c r="G105" s="54">
        <f t="shared" si="18"/>
        <v>0</v>
      </c>
      <c r="H105" s="388">
        <f t="shared" si="19"/>
        <v>0</v>
      </c>
      <c r="I105" s="407">
        <f t="shared" si="20"/>
        <v>0</v>
      </c>
      <c r="J105" s="53">
        <f t="shared" si="21"/>
        <v>0</v>
      </c>
      <c r="K105" s="53"/>
      <c r="L105" s="112"/>
      <c r="M105" s="53">
        <f t="shared" si="22"/>
        <v>0</v>
      </c>
      <c r="N105" s="112"/>
      <c r="O105" s="53">
        <f t="shared" si="23"/>
        <v>0</v>
      </c>
      <c r="P105" s="53">
        <f t="shared" si="24"/>
        <v>0</v>
      </c>
      <c r="Q105" s="1"/>
      <c r="R105" s="1"/>
      <c r="S105" s="1"/>
      <c r="T105" s="1"/>
      <c r="U105" s="1"/>
    </row>
    <row r="106" spans="1:21">
      <c r="B106" t="str">
        <f t="shared" si="17"/>
        <v/>
      </c>
      <c r="C106" s="49">
        <f>IF(D94="","-",+C105+1)</f>
        <v>2018</v>
      </c>
      <c r="D106" s="11">
        <f>IF(F105+SUM(E$100:E105)=D$93,F105,D$93-SUM(E$100:E105))</f>
        <v>0</v>
      </c>
      <c r="E106" s="377">
        <f>IF(+J97&lt;F105,J97,D106)</f>
        <v>0</v>
      </c>
      <c r="F106" s="54">
        <f t="shared" si="25"/>
        <v>0</v>
      </c>
      <c r="G106" s="54">
        <f t="shared" si="18"/>
        <v>0</v>
      </c>
      <c r="H106" s="388">
        <f t="shared" si="19"/>
        <v>0</v>
      </c>
      <c r="I106" s="407">
        <f t="shared" si="20"/>
        <v>0</v>
      </c>
      <c r="J106" s="53">
        <f t="shared" si="21"/>
        <v>0</v>
      </c>
      <c r="K106" s="53"/>
      <c r="L106" s="112"/>
      <c r="M106" s="53">
        <f t="shared" si="22"/>
        <v>0</v>
      </c>
      <c r="N106" s="112"/>
      <c r="O106" s="53">
        <f t="shared" si="23"/>
        <v>0</v>
      </c>
      <c r="P106" s="53">
        <f t="shared" si="24"/>
        <v>0</v>
      </c>
      <c r="Q106" s="1"/>
      <c r="R106" s="1"/>
      <c r="S106" s="1"/>
      <c r="T106" s="1"/>
      <c r="U106" s="1"/>
    </row>
    <row r="107" spans="1:21">
      <c r="B107" t="str">
        <f t="shared" si="17"/>
        <v/>
      </c>
      <c r="C107" s="49">
        <f>IF(D94="","-",+C106+1)</f>
        <v>2019</v>
      </c>
      <c r="D107" s="11">
        <f>IF(F106+SUM(E$100:E106)=D$93,F106,D$93-SUM(E$100:E106))</f>
        <v>0</v>
      </c>
      <c r="E107" s="377">
        <f>IF(+J97&lt;F106,J97,D107)</f>
        <v>0</v>
      </c>
      <c r="F107" s="54">
        <f t="shared" si="25"/>
        <v>0</v>
      </c>
      <c r="G107" s="54">
        <f t="shared" si="18"/>
        <v>0</v>
      </c>
      <c r="H107" s="388">
        <f t="shared" si="19"/>
        <v>0</v>
      </c>
      <c r="I107" s="407">
        <f t="shared" si="20"/>
        <v>0</v>
      </c>
      <c r="J107" s="53">
        <f t="shared" si="21"/>
        <v>0</v>
      </c>
      <c r="K107" s="53"/>
      <c r="L107" s="112"/>
      <c r="M107" s="53">
        <f t="shared" si="22"/>
        <v>0</v>
      </c>
      <c r="N107" s="112"/>
      <c r="O107" s="53">
        <f t="shared" si="23"/>
        <v>0</v>
      </c>
      <c r="P107" s="53">
        <f t="shared" si="24"/>
        <v>0</v>
      </c>
      <c r="Q107" s="1"/>
      <c r="R107" s="1"/>
      <c r="S107" s="1"/>
      <c r="T107" s="1"/>
      <c r="U107" s="1"/>
    </row>
    <row r="108" spans="1:21">
      <c r="B108" t="str">
        <f t="shared" si="17"/>
        <v/>
      </c>
      <c r="C108" s="49">
        <f>IF(D94="","-",+C107+1)</f>
        <v>2020</v>
      </c>
      <c r="D108" s="11">
        <f>IF(F107+SUM(E$100:E107)=D$93,F107,D$93-SUM(E$100:E107))</f>
        <v>0</v>
      </c>
      <c r="E108" s="377">
        <f>IF(+J97&lt;F107,J97,D108)</f>
        <v>0</v>
      </c>
      <c r="F108" s="54">
        <f t="shared" si="25"/>
        <v>0</v>
      </c>
      <c r="G108" s="54">
        <f t="shared" si="18"/>
        <v>0</v>
      </c>
      <c r="H108" s="388">
        <f t="shared" si="19"/>
        <v>0</v>
      </c>
      <c r="I108" s="407">
        <f t="shared" si="20"/>
        <v>0</v>
      </c>
      <c r="J108" s="53">
        <f t="shared" si="21"/>
        <v>0</v>
      </c>
      <c r="K108" s="53"/>
      <c r="L108" s="112"/>
      <c r="M108" s="53">
        <f t="shared" si="22"/>
        <v>0</v>
      </c>
      <c r="N108" s="112"/>
      <c r="O108" s="53">
        <f t="shared" si="23"/>
        <v>0</v>
      </c>
      <c r="P108" s="53">
        <f t="shared" si="24"/>
        <v>0</v>
      </c>
      <c r="Q108" s="1"/>
      <c r="R108" s="1"/>
      <c r="S108" s="1"/>
      <c r="T108" s="1"/>
      <c r="U108" s="1"/>
    </row>
    <row r="109" spans="1:21">
      <c r="B109" t="str">
        <f t="shared" si="17"/>
        <v/>
      </c>
      <c r="C109" s="49">
        <f>IF(D94="","-",+C108+1)</f>
        <v>2021</v>
      </c>
      <c r="D109" s="11">
        <f>IF(F108+SUM(E$100:E108)=D$93,F108,D$93-SUM(E$100:E108))</f>
        <v>0</v>
      </c>
      <c r="E109" s="377">
        <f>IF(+J97&lt;F108,J97,D109)</f>
        <v>0</v>
      </c>
      <c r="F109" s="54">
        <f t="shared" si="25"/>
        <v>0</v>
      </c>
      <c r="G109" s="54">
        <f t="shared" si="18"/>
        <v>0</v>
      </c>
      <c r="H109" s="388">
        <f t="shared" si="19"/>
        <v>0</v>
      </c>
      <c r="I109" s="407">
        <f t="shared" si="20"/>
        <v>0</v>
      </c>
      <c r="J109" s="53">
        <f t="shared" si="21"/>
        <v>0</v>
      </c>
      <c r="K109" s="53"/>
      <c r="L109" s="112"/>
      <c r="M109" s="53">
        <f t="shared" si="22"/>
        <v>0</v>
      </c>
      <c r="N109" s="112"/>
      <c r="O109" s="53">
        <f t="shared" si="23"/>
        <v>0</v>
      </c>
      <c r="P109" s="53">
        <f t="shared" si="24"/>
        <v>0</v>
      </c>
      <c r="Q109" s="1"/>
      <c r="R109" s="1"/>
      <c r="S109" s="1"/>
      <c r="T109" s="1"/>
      <c r="U109" s="1"/>
    </row>
    <row r="110" spans="1:21">
      <c r="B110" t="str">
        <f t="shared" si="17"/>
        <v/>
      </c>
      <c r="C110" s="49">
        <f>IF(D94="","-",+C109+1)</f>
        <v>2022</v>
      </c>
      <c r="D110" s="11">
        <f>IF(F109+SUM(E$100:E109)=D$93,F109,D$93-SUM(E$100:E109))</f>
        <v>0</v>
      </c>
      <c r="E110" s="377">
        <f>IF(+J97&lt;F109,J97,D110)</f>
        <v>0</v>
      </c>
      <c r="F110" s="54">
        <f t="shared" si="25"/>
        <v>0</v>
      </c>
      <c r="G110" s="54">
        <f t="shared" si="18"/>
        <v>0</v>
      </c>
      <c r="H110" s="388">
        <f t="shared" si="19"/>
        <v>0</v>
      </c>
      <c r="I110" s="407">
        <f t="shared" si="20"/>
        <v>0</v>
      </c>
      <c r="J110" s="53">
        <f t="shared" si="21"/>
        <v>0</v>
      </c>
      <c r="K110" s="53"/>
      <c r="L110" s="112"/>
      <c r="M110" s="53">
        <f t="shared" si="22"/>
        <v>0</v>
      </c>
      <c r="N110" s="112"/>
      <c r="O110" s="53">
        <f t="shared" si="23"/>
        <v>0</v>
      </c>
      <c r="P110" s="53">
        <f t="shared" si="24"/>
        <v>0</v>
      </c>
      <c r="Q110" s="1"/>
      <c r="R110" s="1"/>
      <c r="S110" s="1"/>
      <c r="T110" s="1"/>
      <c r="U110" s="1"/>
    </row>
    <row r="111" spans="1:21">
      <c r="B111" t="str">
        <f t="shared" si="17"/>
        <v/>
      </c>
      <c r="C111" s="49">
        <f>IF(D94="","-",+C110+1)</f>
        <v>2023</v>
      </c>
      <c r="D111" s="11">
        <f>IF(F110+SUM(E$100:E110)=D$93,F110,D$93-SUM(E$100:E110))</f>
        <v>0</v>
      </c>
      <c r="E111" s="377">
        <f>IF(+J97&lt;F110,J97,D111)</f>
        <v>0</v>
      </c>
      <c r="F111" s="54">
        <f t="shared" si="25"/>
        <v>0</v>
      </c>
      <c r="G111" s="54">
        <f t="shared" si="18"/>
        <v>0</v>
      </c>
      <c r="H111" s="388">
        <f t="shared" si="19"/>
        <v>0</v>
      </c>
      <c r="I111" s="407">
        <f t="shared" si="20"/>
        <v>0</v>
      </c>
      <c r="J111" s="53">
        <f t="shared" si="21"/>
        <v>0</v>
      </c>
      <c r="K111" s="53"/>
      <c r="L111" s="112"/>
      <c r="M111" s="53">
        <f t="shared" si="22"/>
        <v>0</v>
      </c>
      <c r="N111" s="112"/>
      <c r="O111" s="53">
        <f t="shared" si="23"/>
        <v>0</v>
      </c>
      <c r="P111" s="53">
        <f t="shared" si="24"/>
        <v>0</v>
      </c>
      <c r="Q111" s="1"/>
      <c r="R111" s="1"/>
      <c r="S111" s="1"/>
      <c r="T111" s="1"/>
      <c r="U111" s="1"/>
    </row>
    <row r="112" spans="1:21">
      <c r="B112" t="str">
        <f t="shared" si="17"/>
        <v/>
      </c>
      <c r="C112" s="49">
        <f>IF(D94="","-",+C111+1)</f>
        <v>2024</v>
      </c>
      <c r="D112" s="11">
        <f>IF(F111+SUM(E$100:E111)=D$93,F111,D$93-SUM(E$100:E111))</f>
        <v>0</v>
      </c>
      <c r="E112" s="377">
        <f>IF(+J97&lt;F111,J97,D112)</f>
        <v>0</v>
      </c>
      <c r="F112" s="54">
        <f t="shared" si="25"/>
        <v>0</v>
      </c>
      <c r="G112" s="54">
        <f t="shared" si="18"/>
        <v>0</v>
      </c>
      <c r="H112" s="388">
        <f t="shared" si="19"/>
        <v>0</v>
      </c>
      <c r="I112" s="407">
        <f t="shared" si="20"/>
        <v>0</v>
      </c>
      <c r="J112" s="53">
        <f t="shared" si="21"/>
        <v>0</v>
      </c>
      <c r="K112" s="53"/>
      <c r="L112" s="112"/>
      <c r="M112" s="53">
        <f t="shared" si="22"/>
        <v>0</v>
      </c>
      <c r="N112" s="112"/>
      <c r="O112" s="53">
        <f t="shared" si="23"/>
        <v>0</v>
      </c>
      <c r="P112" s="53">
        <f t="shared" si="24"/>
        <v>0</v>
      </c>
      <c r="Q112" s="1"/>
      <c r="R112" s="1"/>
      <c r="S112" s="1"/>
      <c r="T112" s="1"/>
      <c r="U112" s="1"/>
    </row>
    <row r="113" spans="2:21">
      <c r="B113" t="str">
        <f t="shared" si="17"/>
        <v/>
      </c>
      <c r="C113" s="49">
        <f>IF(D94="","-",+C112+1)</f>
        <v>2025</v>
      </c>
      <c r="D113" s="11">
        <f>IF(F112+SUM(E$100:E112)=D$93,F112,D$93-SUM(E$100:E112))</f>
        <v>0</v>
      </c>
      <c r="E113" s="377">
        <f>IF(+J97&lt;F112,J97,D113)</f>
        <v>0</v>
      </c>
      <c r="F113" s="54">
        <f t="shared" si="25"/>
        <v>0</v>
      </c>
      <c r="G113" s="54">
        <f t="shared" si="18"/>
        <v>0</v>
      </c>
      <c r="H113" s="388">
        <f t="shared" si="19"/>
        <v>0</v>
      </c>
      <c r="I113" s="407">
        <f t="shared" si="20"/>
        <v>0</v>
      </c>
      <c r="J113" s="53">
        <f t="shared" si="21"/>
        <v>0</v>
      </c>
      <c r="K113" s="53"/>
      <c r="L113" s="112"/>
      <c r="M113" s="53">
        <f t="shared" si="22"/>
        <v>0</v>
      </c>
      <c r="N113" s="112"/>
      <c r="O113" s="53">
        <f t="shared" si="23"/>
        <v>0</v>
      </c>
      <c r="P113" s="53">
        <f t="shared" si="24"/>
        <v>0</v>
      </c>
      <c r="Q113" s="1"/>
      <c r="R113" s="1"/>
      <c r="S113" s="1"/>
      <c r="T113" s="1"/>
      <c r="U113" s="1"/>
    </row>
    <row r="114" spans="2:21">
      <c r="B114" t="str">
        <f t="shared" si="17"/>
        <v/>
      </c>
      <c r="C114" s="49">
        <f>IF(D94="","-",+C113+1)</f>
        <v>2026</v>
      </c>
      <c r="D114" s="11">
        <f>IF(F113+SUM(E$100:E113)=D$93,F113,D$93-SUM(E$100:E113))</f>
        <v>0</v>
      </c>
      <c r="E114" s="377">
        <f>IF(+J97&lt;F113,J97,D114)</f>
        <v>0</v>
      </c>
      <c r="F114" s="54">
        <f t="shared" si="25"/>
        <v>0</v>
      </c>
      <c r="G114" s="54">
        <f t="shared" si="18"/>
        <v>0</v>
      </c>
      <c r="H114" s="388">
        <f t="shared" si="19"/>
        <v>0</v>
      </c>
      <c r="I114" s="407">
        <f t="shared" si="20"/>
        <v>0</v>
      </c>
      <c r="J114" s="53">
        <f t="shared" si="21"/>
        <v>0</v>
      </c>
      <c r="K114" s="53"/>
      <c r="L114" s="112"/>
      <c r="M114" s="53">
        <f t="shared" si="22"/>
        <v>0</v>
      </c>
      <c r="N114" s="112"/>
      <c r="O114" s="53">
        <f t="shared" si="23"/>
        <v>0</v>
      </c>
      <c r="P114" s="53">
        <f t="shared" si="24"/>
        <v>0</v>
      </c>
      <c r="Q114" s="1"/>
      <c r="R114" s="1"/>
      <c r="S114" s="1"/>
      <c r="T114" s="1"/>
      <c r="U114" s="1"/>
    </row>
    <row r="115" spans="2:21">
      <c r="B115" t="str">
        <f t="shared" si="17"/>
        <v/>
      </c>
      <c r="C115" s="49">
        <f>IF(D94="","-",+C114+1)</f>
        <v>2027</v>
      </c>
      <c r="D115" s="11">
        <f>IF(F114+SUM(E$100:E114)=D$93,F114,D$93-SUM(E$100:E114))</f>
        <v>0</v>
      </c>
      <c r="E115" s="377">
        <f>IF(+J97&lt;F114,J97,D115)</f>
        <v>0</v>
      </c>
      <c r="F115" s="54">
        <f t="shared" si="25"/>
        <v>0</v>
      </c>
      <c r="G115" s="54">
        <f t="shared" si="18"/>
        <v>0</v>
      </c>
      <c r="H115" s="388">
        <f t="shared" si="19"/>
        <v>0</v>
      </c>
      <c r="I115" s="407">
        <f t="shared" si="20"/>
        <v>0</v>
      </c>
      <c r="J115" s="53">
        <f t="shared" si="21"/>
        <v>0</v>
      </c>
      <c r="K115" s="53"/>
      <c r="L115" s="112"/>
      <c r="M115" s="53">
        <f t="shared" si="22"/>
        <v>0</v>
      </c>
      <c r="N115" s="112"/>
      <c r="O115" s="53">
        <f t="shared" si="23"/>
        <v>0</v>
      </c>
      <c r="P115" s="53">
        <f t="shared" si="24"/>
        <v>0</v>
      </c>
      <c r="Q115" s="1"/>
      <c r="R115" s="1"/>
      <c r="S115" s="1"/>
      <c r="T115" s="1"/>
      <c r="U115" s="1"/>
    </row>
    <row r="116" spans="2:21">
      <c r="B116" t="str">
        <f t="shared" si="17"/>
        <v/>
      </c>
      <c r="C116" s="49">
        <f>IF(D94="","-",+C115+1)</f>
        <v>2028</v>
      </c>
      <c r="D116" s="11">
        <f>IF(F115+SUM(E$100:E115)=D$93,F115,D$93-SUM(E$100:E115))</f>
        <v>0</v>
      </c>
      <c r="E116" s="377">
        <f>IF(+J97&lt;F115,J97,D116)</f>
        <v>0</v>
      </c>
      <c r="F116" s="54">
        <f t="shared" si="25"/>
        <v>0</v>
      </c>
      <c r="G116" s="54">
        <f t="shared" si="18"/>
        <v>0</v>
      </c>
      <c r="H116" s="388">
        <f t="shared" si="19"/>
        <v>0</v>
      </c>
      <c r="I116" s="407">
        <f t="shared" si="20"/>
        <v>0</v>
      </c>
      <c r="J116" s="53">
        <f t="shared" si="21"/>
        <v>0</v>
      </c>
      <c r="K116" s="53"/>
      <c r="L116" s="112"/>
      <c r="M116" s="53">
        <f t="shared" si="22"/>
        <v>0</v>
      </c>
      <c r="N116" s="112"/>
      <c r="O116" s="53">
        <f t="shared" si="23"/>
        <v>0</v>
      </c>
      <c r="P116" s="53">
        <f t="shared" si="24"/>
        <v>0</v>
      </c>
      <c r="Q116" s="1"/>
      <c r="R116" s="1"/>
      <c r="S116" s="1"/>
      <c r="T116" s="1"/>
      <c r="U116" s="1"/>
    </row>
    <row r="117" spans="2:21">
      <c r="B117" t="str">
        <f t="shared" si="17"/>
        <v/>
      </c>
      <c r="C117" s="49">
        <f>IF(D94="","-",+C116+1)</f>
        <v>2029</v>
      </c>
      <c r="D117" s="11">
        <f>IF(F116+SUM(E$100:E116)=D$93,F116,D$93-SUM(E$100:E116))</f>
        <v>0</v>
      </c>
      <c r="E117" s="377">
        <f>IF(+J97&lt;F116,J97,D117)</f>
        <v>0</v>
      </c>
      <c r="F117" s="54">
        <f t="shared" si="25"/>
        <v>0</v>
      </c>
      <c r="G117" s="54">
        <f t="shared" si="18"/>
        <v>0</v>
      </c>
      <c r="H117" s="388">
        <f t="shared" si="19"/>
        <v>0</v>
      </c>
      <c r="I117" s="407">
        <f t="shared" si="20"/>
        <v>0</v>
      </c>
      <c r="J117" s="53">
        <f t="shared" si="21"/>
        <v>0</v>
      </c>
      <c r="K117" s="53"/>
      <c r="L117" s="112"/>
      <c r="M117" s="53">
        <f t="shared" si="22"/>
        <v>0</v>
      </c>
      <c r="N117" s="112"/>
      <c r="O117" s="53">
        <f t="shared" si="23"/>
        <v>0</v>
      </c>
      <c r="P117" s="53">
        <f t="shared" si="24"/>
        <v>0</v>
      </c>
      <c r="Q117" s="1"/>
      <c r="R117" s="1"/>
      <c r="S117" s="1"/>
      <c r="T117" s="1"/>
      <c r="U117" s="1"/>
    </row>
    <row r="118" spans="2:21">
      <c r="B118" t="str">
        <f t="shared" si="17"/>
        <v/>
      </c>
      <c r="C118" s="49">
        <f>IF(D94="","-",+C117+1)</f>
        <v>2030</v>
      </c>
      <c r="D118" s="11">
        <f>IF(F117+SUM(E$100:E117)=D$93,F117,D$93-SUM(E$100:E117))</f>
        <v>0</v>
      </c>
      <c r="E118" s="377">
        <f>IF(+J97&lt;F117,J97,D118)</f>
        <v>0</v>
      </c>
      <c r="F118" s="54">
        <f t="shared" si="25"/>
        <v>0</v>
      </c>
      <c r="G118" s="54">
        <f t="shared" si="18"/>
        <v>0</v>
      </c>
      <c r="H118" s="388">
        <f t="shared" si="19"/>
        <v>0</v>
      </c>
      <c r="I118" s="407">
        <f t="shared" si="20"/>
        <v>0</v>
      </c>
      <c r="J118" s="53">
        <f t="shared" si="21"/>
        <v>0</v>
      </c>
      <c r="K118" s="53"/>
      <c r="L118" s="112"/>
      <c r="M118" s="53">
        <f t="shared" si="22"/>
        <v>0</v>
      </c>
      <c r="N118" s="112"/>
      <c r="O118" s="53">
        <f t="shared" si="23"/>
        <v>0</v>
      </c>
      <c r="P118" s="53">
        <f t="shared" si="24"/>
        <v>0</v>
      </c>
      <c r="Q118" s="1"/>
      <c r="R118" s="1"/>
      <c r="S118" s="1"/>
      <c r="T118" s="1"/>
      <c r="U118" s="1"/>
    </row>
    <row r="119" spans="2:21">
      <c r="B119" t="str">
        <f t="shared" si="17"/>
        <v/>
      </c>
      <c r="C119" s="49">
        <f>IF(D94="","-",+C118+1)</f>
        <v>2031</v>
      </c>
      <c r="D119" s="11">
        <f>IF(F118+SUM(E$100:E118)=D$93,F118,D$93-SUM(E$100:E118))</f>
        <v>0</v>
      </c>
      <c r="E119" s="377">
        <f>IF(+J97&lt;F118,J97,D119)</f>
        <v>0</v>
      </c>
      <c r="F119" s="54">
        <f t="shared" si="25"/>
        <v>0</v>
      </c>
      <c r="G119" s="54">
        <f t="shared" si="18"/>
        <v>0</v>
      </c>
      <c r="H119" s="388">
        <f t="shared" si="19"/>
        <v>0</v>
      </c>
      <c r="I119" s="407">
        <f t="shared" si="20"/>
        <v>0</v>
      </c>
      <c r="J119" s="53">
        <f t="shared" si="21"/>
        <v>0</v>
      </c>
      <c r="K119" s="53"/>
      <c r="L119" s="112"/>
      <c r="M119" s="53">
        <f t="shared" si="22"/>
        <v>0</v>
      </c>
      <c r="N119" s="112"/>
      <c r="O119" s="53">
        <f t="shared" si="23"/>
        <v>0</v>
      </c>
      <c r="P119" s="53">
        <f t="shared" si="24"/>
        <v>0</v>
      </c>
      <c r="Q119" s="1"/>
      <c r="R119" s="1"/>
      <c r="S119" s="1"/>
      <c r="T119" s="1"/>
      <c r="U119" s="1"/>
    </row>
    <row r="120" spans="2:21">
      <c r="B120" t="str">
        <f t="shared" si="17"/>
        <v/>
      </c>
      <c r="C120" s="49">
        <f>IF(D94="","-",+C119+1)</f>
        <v>2032</v>
      </c>
      <c r="D120" s="11">
        <f>IF(F119+SUM(E$100:E119)=D$93,F119,D$93-SUM(E$100:E119))</f>
        <v>0</v>
      </c>
      <c r="E120" s="377">
        <f>IF(+J97&lt;F119,J97,D120)</f>
        <v>0</v>
      </c>
      <c r="F120" s="54">
        <f t="shared" si="25"/>
        <v>0</v>
      </c>
      <c r="G120" s="54">
        <f t="shared" si="18"/>
        <v>0</v>
      </c>
      <c r="H120" s="388">
        <f t="shared" si="19"/>
        <v>0</v>
      </c>
      <c r="I120" s="407">
        <f t="shared" si="20"/>
        <v>0</v>
      </c>
      <c r="J120" s="53">
        <f t="shared" si="21"/>
        <v>0</v>
      </c>
      <c r="K120" s="53"/>
      <c r="L120" s="112"/>
      <c r="M120" s="53">
        <f t="shared" si="22"/>
        <v>0</v>
      </c>
      <c r="N120" s="112"/>
      <c r="O120" s="53">
        <f t="shared" si="23"/>
        <v>0</v>
      </c>
      <c r="P120" s="53">
        <f t="shared" si="24"/>
        <v>0</v>
      </c>
      <c r="Q120" s="1"/>
      <c r="R120" s="1"/>
      <c r="S120" s="1"/>
      <c r="T120" s="1"/>
      <c r="U120" s="1"/>
    </row>
    <row r="121" spans="2:21">
      <c r="B121" t="str">
        <f t="shared" si="17"/>
        <v/>
      </c>
      <c r="C121" s="49">
        <f>IF(D94="","-",+C120+1)</f>
        <v>2033</v>
      </c>
      <c r="D121" s="11">
        <f>IF(F120+SUM(E$100:E120)=D$93,F120,D$93-SUM(E$100:E120))</f>
        <v>0</v>
      </c>
      <c r="E121" s="377">
        <f>IF(+J97&lt;F120,J97,D121)</f>
        <v>0</v>
      </c>
      <c r="F121" s="54">
        <f t="shared" si="25"/>
        <v>0</v>
      </c>
      <c r="G121" s="54">
        <f t="shared" si="18"/>
        <v>0</v>
      </c>
      <c r="H121" s="388">
        <f t="shared" si="19"/>
        <v>0</v>
      </c>
      <c r="I121" s="407">
        <f t="shared" si="20"/>
        <v>0</v>
      </c>
      <c r="J121" s="53">
        <f t="shared" si="21"/>
        <v>0</v>
      </c>
      <c r="K121" s="53"/>
      <c r="L121" s="112"/>
      <c r="M121" s="53">
        <f t="shared" si="22"/>
        <v>0</v>
      </c>
      <c r="N121" s="112"/>
      <c r="O121" s="53">
        <f t="shared" si="23"/>
        <v>0</v>
      </c>
      <c r="P121" s="53">
        <f t="shared" si="24"/>
        <v>0</v>
      </c>
      <c r="Q121" s="1"/>
      <c r="R121" s="1"/>
      <c r="S121" s="1"/>
      <c r="T121" s="1"/>
      <c r="U121" s="1"/>
    </row>
    <row r="122" spans="2:21">
      <c r="B122" t="str">
        <f t="shared" si="17"/>
        <v/>
      </c>
      <c r="C122" s="49">
        <f>IF(D94="","-",+C121+1)</f>
        <v>2034</v>
      </c>
      <c r="D122" s="11">
        <f>IF(F121+SUM(E$100:E121)=D$93,F121,D$93-SUM(E$100:E121))</f>
        <v>0</v>
      </c>
      <c r="E122" s="377">
        <f>IF(+J97&lt;F121,J97,D122)</f>
        <v>0</v>
      </c>
      <c r="F122" s="54">
        <f t="shared" si="25"/>
        <v>0</v>
      </c>
      <c r="G122" s="54">
        <f t="shared" si="18"/>
        <v>0</v>
      </c>
      <c r="H122" s="388">
        <f t="shared" si="19"/>
        <v>0</v>
      </c>
      <c r="I122" s="407">
        <f t="shared" si="20"/>
        <v>0</v>
      </c>
      <c r="J122" s="53">
        <f t="shared" si="21"/>
        <v>0</v>
      </c>
      <c r="K122" s="53"/>
      <c r="L122" s="112"/>
      <c r="M122" s="53">
        <f t="shared" si="22"/>
        <v>0</v>
      </c>
      <c r="N122" s="112"/>
      <c r="O122" s="53">
        <f t="shared" si="23"/>
        <v>0</v>
      </c>
      <c r="P122" s="53">
        <f t="shared" si="24"/>
        <v>0</v>
      </c>
      <c r="Q122" s="1"/>
      <c r="R122" s="1"/>
      <c r="S122" s="1"/>
      <c r="T122" s="1"/>
      <c r="U122" s="1"/>
    </row>
    <row r="123" spans="2:21">
      <c r="B123" t="str">
        <f t="shared" si="17"/>
        <v/>
      </c>
      <c r="C123" s="49">
        <f>IF(D94="","-",+C122+1)</f>
        <v>2035</v>
      </c>
      <c r="D123" s="11">
        <f>IF(F122+SUM(E$100:E122)=D$93,F122,D$93-SUM(E$100:E122))</f>
        <v>0</v>
      </c>
      <c r="E123" s="377">
        <f>IF(+J97&lt;F122,J97,D123)</f>
        <v>0</v>
      </c>
      <c r="F123" s="54">
        <f t="shared" si="25"/>
        <v>0</v>
      </c>
      <c r="G123" s="54">
        <f t="shared" si="18"/>
        <v>0</v>
      </c>
      <c r="H123" s="388">
        <f t="shared" si="19"/>
        <v>0</v>
      </c>
      <c r="I123" s="407">
        <f t="shared" si="20"/>
        <v>0</v>
      </c>
      <c r="J123" s="53">
        <f t="shared" si="21"/>
        <v>0</v>
      </c>
      <c r="K123" s="53"/>
      <c r="L123" s="112"/>
      <c r="M123" s="53">
        <f t="shared" si="22"/>
        <v>0</v>
      </c>
      <c r="N123" s="112"/>
      <c r="O123" s="53">
        <f t="shared" si="23"/>
        <v>0</v>
      </c>
      <c r="P123" s="53">
        <f t="shared" si="24"/>
        <v>0</v>
      </c>
      <c r="Q123" s="1"/>
      <c r="R123" s="1"/>
      <c r="S123" s="1"/>
      <c r="T123" s="1"/>
      <c r="U123" s="1"/>
    </row>
    <row r="124" spans="2:21">
      <c r="B124" t="str">
        <f t="shared" si="17"/>
        <v/>
      </c>
      <c r="C124" s="49">
        <f>IF(D94="","-",+C123+1)</f>
        <v>2036</v>
      </c>
      <c r="D124" s="11">
        <f>IF(F123+SUM(E$100:E123)=D$93,F123,D$93-SUM(E$100:E123))</f>
        <v>0</v>
      </c>
      <c r="E124" s="377">
        <f>IF(+J97&lt;F123,J97,D124)</f>
        <v>0</v>
      </c>
      <c r="F124" s="54">
        <f t="shared" si="25"/>
        <v>0</v>
      </c>
      <c r="G124" s="54">
        <f t="shared" si="18"/>
        <v>0</v>
      </c>
      <c r="H124" s="388">
        <f t="shared" si="19"/>
        <v>0</v>
      </c>
      <c r="I124" s="407">
        <f t="shared" si="20"/>
        <v>0</v>
      </c>
      <c r="J124" s="53">
        <f t="shared" si="21"/>
        <v>0</v>
      </c>
      <c r="K124" s="53"/>
      <c r="L124" s="112"/>
      <c r="M124" s="53">
        <f t="shared" si="22"/>
        <v>0</v>
      </c>
      <c r="N124" s="112"/>
      <c r="O124" s="53">
        <f t="shared" si="23"/>
        <v>0</v>
      </c>
      <c r="P124" s="53">
        <f t="shared" si="24"/>
        <v>0</v>
      </c>
      <c r="Q124" s="1"/>
      <c r="R124" s="1"/>
      <c r="S124" s="1"/>
      <c r="T124" s="1"/>
      <c r="U124" s="1"/>
    </row>
    <row r="125" spans="2:21">
      <c r="B125" t="str">
        <f t="shared" si="17"/>
        <v/>
      </c>
      <c r="C125" s="49">
        <f>IF(D94="","-",+C124+1)</f>
        <v>2037</v>
      </c>
      <c r="D125" s="11">
        <f>IF(F124+SUM(E$100:E124)=D$93,F124,D$93-SUM(E$100:E124))</f>
        <v>0</v>
      </c>
      <c r="E125" s="377">
        <f>IF(+J97&lt;F124,J97,D125)</f>
        <v>0</v>
      </c>
      <c r="F125" s="54">
        <f t="shared" si="25"/>
        <v>0</v>
      </c>
      <c r="G125" s="54">
        <f t="shared" si="18"/>
        <v>0</v>
      </c>
      <c r="H125" s="388">
        <f t="shared" si="19"/>
        <v>0</v>
      </c>
      <c r="I125" s="407">
        <f t="shared" si="20"/>
        <v>0</v>
      </c>
      <c r="J125" s="53">
        <f t="shared" si="21"/>
        <v>0</v>
      </c>
      <c r="K125" s="53"/>
      <c r="L125" s="112"/>
      <c r="M125" s="53">
        <f t="shared" si="22"/>
        <v>0</v>
      </c>
      <c r="N125" s="112"/>
      <c r="O125" s="53">
        <f t="shared" si="23"/>
        <v>0</v>
      </c>
      <c r="P125" s="53">
        <f t="shared" si="24"/>
        <v>0</v>
      </c>
      <c r="Q125" s="1"/>
      <c r="R125" s="1"/>
      <c r="S125" s="1"/>
      <c r="T125" s="1"/>
      <c r="U125" s="1"/>
    </row>
    <row r="126" spans="2:21">
      <c r="B126" t="str">
        <f t="shared" si="17"/>
        <v/>
      </c>
      <c r="C126" s="49">
        <f>IF(D94="","-",+C125+1)</f>
        <v>2038</v>
      </c>
      <c r="D126" s="11">
        <f>IF(F125+SUM(E$100:E125)=D$93,F125,D$93-SUM(E$100:E125))</f>
        <v>0</v>
      </c>
      <c r="E126" s="377">
        <f>IF(+J97&lt;F125,J97,D126)</f>
        <v>0</v>
      </c>
      <c r="F126" s="54">
        <f t="shared" si="25"/>
        <v>0</v>
      </c>
      <c r="G126" s="54">
        <f t="shared" si="18"/>
        <v>0</v>
      </c>
      <c r="H126" s="388">
        <f t="shared" si="19"/>
        <v>0</v>
      </c>
      <c r="I126" s="407">
        <f t="shared" si="20"/>
        <v>0</v>
      </c>
      <c r="J126" s="53">
        <f t="shared" si="21"/>
        <v>0</v>
      </c>
      <c r="K126" s="53"/>
      <c r="L126" s="112"/>
      <c r="M126" s="53">
        <f t="shared" si="22"/>
        <v>0</v>
      </c>
      <c r="N126" s="112"/>
      <c r="O126" s="53">
        <f t="shared" si="23"/>
        <v>0</v>
      </c>
      <c r="P126" s="53">
        <f t="shared" si="24"/>
        <v>0</v>
      </c>
      <c r="Q126" s="1"/>
      <c r="R126" s="1"/>
      <c r="S126" s="1"/>
      <c r="T126" s="1"/>
      <c r="U126" s="1"/>
    </row>
    <row r="127" spans="2:21">
      <c r="B127" t="str">
        <f t="shared" si="17"/>
        <v/>
      </c>
      <c r="C127" s="49">
        <f>IF(D94="","-",+C126+1)</f>
        <v>2039</v>
      </c>
      <c r="D127" s="11">
        <f>IF(F126+SUM(E$100:E126)=D$93,F126,D$93-SUM(E$100:E126))</f>
        <v>0</v>
      </c>
      <c r="E127" s="377">
        <f>IF(+J97&lt;F126,J97,D127)</f>
        <v>0</v>
      </c>
      <c r="F127" s="54">
        <f t="shared" si="25"/>
        <v>0</v>
      </c>
      <c r="G127" s="54">
        <f t="shared" si="18"/>
        <v>0</v>
      </c>
      <c r="H127" s="388">
        <f t="shared" si="19"/>
        <v>0</v>
      </c>
      <c r="I127" s="407">
        <f t="shared" si="20"/>
        <v>0</v>
      </c>
      <c r="J127" s="53">
        <f t="shared" si="21"/>
        <v>0</v>
      </c>
      <c r="K127" s="53"/>
      <c r="L127" s="112"/>
      <c r="M127" s="53">
        <f t="shared" si="22"/>
        <v>0</v>
      </c>
      <c r="N127" s="112"/>
      <c r="O127" s="53">
        <f t="shared" si="23"/>
        <v>0</v>
      </c>
      <c r="P127" s="53">
        <f t="shared" si="24"/>
        <v>0</v>
      </c>
      <c r="Q127" s="1"/>
      <c r="R127" s="1"/>
      <c r="S127" s="1"/>
      <c r="T127" s="1"/>
      <c r="U127" s="1"/>
    </row>
    <row r="128" spans="2:21">
      <c r="B128" t="str">
        <f t="shared" si="17"/>
        <v/>
      </c>
      <c r="C128" s="49">
        <f>IF(D94="","-",+C127+1)</f>
        <v>2040</v>
      </c>
      <c r="D128" s="11">
        <f>IF(F127+SUM(E$100:E127)=D$93,F127,D$93-SUM(E$100:E127))</f>
        <v>0</v>
      </c>
      <c r="E128" s="377">
        <f>IF(+J97&lt;F127,J97,D128)</f>
        <v>0</v>
      </c>
      <c r="F128" s="54">
        <f t="shared" si="25"/>
        <v>0</v>
      </c>
      <c r="G128" s="54">
        <f t="shared" si="18"/>
        <v>0</v>
      </c>
      <c r="H128" s="388">
        <f t="shared" si="19"/>
        <v>0</v>
      </c>
      <c r="I128" s="407">
        <f t="shared" si="20"/>
        <v>0</v>
      </c>
      <c r="J128" s="53">
        <f t="shared" si="21"/>
        <v>0</v>
      </c>
      <c r="K128" s="53"/>
      <c r="L128" s="112"/>
      <c r="M128" s="53">
        <f t="shared" si="22"/>
        <v>0</v>
      </c>
      <c r="N128" s="112"/>
      <c r="O128" s="53">
        <f t="shared" si="23"/>
        <v>0</v>
      </c>
      <c r="P128" s="53">
        <f t="shared" si="24"/>
        <v>0</v>
      </c>
      <c r="Q128" s="1"/>
      <c r="R128" s="1"/>
      <c r="S128" s="1"/>
      <c r="T128" s="1"/>
      <c r="U128" s="1"/>
    </row>
    <row r="129" spans="2:21">
      <c r="B129" t="str">
        <f t="shared" si="17"/>
        <v/>
      </c>
      <c r="C129" s="49">
        <f>IF(D94="","-",+C128+1)</f>
        <v>2041</v>
      </c>
      <c r="D129" s="11">
        <f>IF(F128+SUM(E$100:E128)=D$93,F128,D$93-SUM(E$100:E128))</f>
        <v>0</v>
      </c>
      <c r="E129" s="377">
        <f>IF(+J97&lt;F128,J97,D129)</f>
        <v>0</v>
      </c>
      <c r="F129" s="54">
        <f t="shared" si="25"/>
        <v>0</v>
      </c>
      <c r="G129" s="54">
        <f t="shared" si="18"/>
        <v>0</v>
      </c>
      <c r="H129" s="388">
        <f t="shared" si="19"/>
        <v>0</v>
      </c>
      <c r="I129" s="407">
        <f t="shared" si="20"/>
        <v>0</v>
      </c>
      <c r="J129" s="53">
        <f t="shared" si="21"/>
        <v>0</v>
      </c>
      <c r="K129" s="53"/>
      <c r="L129" s="112"/>
      <c r="M129" s="53">
        <f t="shared" si="22"/>
        <v>0</v>
      </c>
      <c r="N129" s="112"/>
      <c r="O129" s="53">
        <f t="shared" si="23"/>
        <v>0</v>
      </c>
      <c r="P129" s="53">
        <f t="shared" si="24"/>
        <v>0</v>
      </c>
      <c r="Q129" s="1"/>
      <c r="R129" s="1"/>
      <c r="S129" s="1"/>
      <c r="T129" s="1"/>
      <c r="U129" s="1"/>
    </row>
    <row r="130" spans="2:21">
      <c r="B130" t="str">
        <f t="shared" si="17"/>
        <v/>
      </c>
      <c r="C130" s="49">
        <f>IF(D94="","-",+C129+1)</f>
        <v>2042</v>
      </c>
      <c r="D130" s="11">
        <f>IF(F129+SUM(E$100:E129)=D$93,F129,D$93-SUM(E$100:E129))</f>
        <v>0</v>
      </c>
      <c r="E130" s="377">
        <f>IF(+J97&lt;F129,J97,D130)</f>
        <v>0</v>
      </c>
      <c r="F130" s="54">
        <f t="shared" si="25"/>
        <v>0</v>
      </c>
      <c r="G130" s="54">
        <f t="shared" si="18"/>
        <v>0</v>
      </c>
      <c r="H130" s="388">
        <f t="shared" si="19"/>
        <v>0</v>
      </c>
      <c r="I130" s="407">
        <f t="shared" si="20"/>
        <v>0</v>
      </c>
      <c r="J130" s="53">
        <f t="shared" si="21"/>
        <v>0</v>
      </c>
      <c r="K130" s="53"/>
      <c r="L130" s="112"/>
      <c r="M130" s="53">
        <f t="shared" si="22"/>
        <v>0</v>
      </c>
      <c r="N130" s="112"/>
      <c r="O130" s="53">
        <f t="shared" si="23"/>
        <v>0</v>
      </c>
      <c r="P130" s="53">
        <f t="shared" si="24"/>
        <v>0</v>
      </c>
      <c r="Q130" s="1"/>
      <c r="R130" s="1"/>
      <c r="S130" s="1"/>
      <c r="T130" s="1"/>
      <c r="U130" s="1"/>
    </row>
    <row r="131" spans="2:21">
      <c r="B131" t="str">
        <f t="shared" si="17"/>
        <v/>
      </c>
      <c r="C131" s="49">
        <f>IF(D94="","-",+C130+1)</f>
        <v>2043</v>
      </c>
      <c r="D131" s="11">
        <f>IF(F130+SUM(E$100:E130)=D$93,F130,D$93-SUM(E$100:E130))</f>
        <v>0</v>
      </c>
      <c r="E131" s="377">
        <f>IF(+J97&lt;F130,J97,D131)</f>
        <v>0</v>
      </c>
      <c r="F131" s="54">
        <f t="shared" si="25"/>
        <v>0</v>
      </c>
      <c r="G131" s="54">
        <f t="shared" si="18"/>
        <v>0</v>
      </c>
      <c r="H131" s="388">
        <f t="shared" si="19"/>
        <v>0</v>
      </c>
      <c r="I131" s="407">
        <f t="shared" si="20"/>
        <v>0</v>
      </c>
      <c r="J131" s="53">
        <f t="shared" si="21"/>
        <v>0</v>
      </c>
      <c r="K131" s="53"/>
      <c r="L131" s="112"/>
      <c r="M131" s="53">
        <f t="shared" si="22"/>
        <v>0</v>
      </c>
      <c r="N131" s="112"/>
      <c r="O131" s="53">
        <f t="shared" si="23"/>
        <v>0</v>
      </c>
      <c r="P131" s="53">
        <f t="shared" si="24"/>
        <v>0</v>
      </c>
      <c r="Q131" s="1"/>
      <c r="R131" s="1"/>
      <c r="S131" s="1"/>
      <c r="T131" s="1"/>
      <c r="U131" s="1"/>
    </row>
    <row r="132" spans="2:21">
      <c r="B132" t="str">
        <f t="shared" ref="B132:B155" si="26">IF(D132=F131,"","IU")</f>
        <v/>
      </c>
      <c r="C132" s="49">
        <f>IF(D94="","-",+C131+1)</f>
        <v>2044</v>
      </c>
      <c r="D132" s="11">
        <f>IF(F131+SUM(E$100:E131)=D$93,F131,D$93-SUM(E$100:E131))</f>
        <v>0</v>
      </c>
      <c r="E132" s="377">
        <f>IF(+J97&lt;F131,J97,D132)</f>
        <v>0</v>
      </c>
      <c r="F132" s="54">
        <f t="shared" si="25"/>
        <v>0</v>
      </c>
      <c r="G132" s="54">
        <f t="shared" ref="G132:G155" si="27">+(F132+D132)/2</f>
        <v>0</v>
      </c>
      <c r="H132" s="388">
        <f t="shared" ref="H132:H155" si="28">+J$95*G132+E132</f>
        <v>0</v>
      </c>
      <c r="I132" s="407">
        <f t="shared" ref="I132:I155" si="29">+J$96*G132+E132</f>
        <v>0</v>
      </c>
      <c r="J132" s="53">
        <f t="shared" ref="J132:J155" si="30">+I132-H132</f>
        <v>0</v>
      </c>
      <c r="K132" s="53"/>
      <c r="L132" s="112"/>
      <c r="M132" s="53">
        <f t="shared" ref="M132:M155" si="31">IF(L132&lt;&gt;0,+H132-L132,0)</f>
        <v>0</v>
      </c>
      <c r="N132" s="112"/>
      <c r="O132" s="53">
        <f t="shared" ref="O132:O155" si="32">IF(N132&lt;&gt;0,+I132-N132,0)</f>
        <v>0</v>
      </c>
      <c r="P132" s="53">
        <f t="shared" ref="P132:P155" si="33">+O132-M132</f>
        <v>0</v>
      </c>
      <c r="Q132" s="1"/>
      <c r="R132" s="1"/>
      <c r="S132" s="1"/>
      <c r="T132" s="1"/>
      <c r="U132" s="1"/>
    </row>
    <row r="133" spans="2:21">
      <c r="B133" t="str">
        <f t="shared" si="26"/>
        <v/>
      </c>
      <c r="C133" s="49">
        <f>IF(D94="","-",+C132+1)</f>
        <v>2045</v>
      </c>
      <c r="D133" s="11">
        <f>IF(F132+SUM(E$100:E132)=D$93,F132,D$93-SUM(E$100:E132))</f>
        <v>0</v>
      </c>
      <c r="E133" s="377">
        <f>IF(+J97&lt;F132,J97,D133)</f>
        <v>0</v>
      </c>
      <c r="F133" s="54">
        <f t="shared" ref="F133:F155" si="34">+D133-E133</f>
        <v>0</v>
      </c>
      <c r="G133" s="54">
        <f t="shared" si="27"/>
        <v>0</v>
      </c>
      <c r="H133" s="388">
        <f t="shared" si="28"/>
        <v>0</v>
      </c>
      <c r="I133" s="407">
        <f t="shared" si="29"/>
        <v>0</v>
      </c>
      <c r="J133" s="53">
        <f t="shared" si="30"/>
        <v>0</v>
      </c>
      <c r="K133" s="53"/>
      <c r="L133" s="112"/>
      <c r="M133" s="53">
        <f t="shared" si="31"/>
        <v>0</v>
      </c>
      <c r="N133" s="112"/>
      <c r="O133" s="53">
        <f t="shared" si="32"/>
        <v>0</v>
      </c>
      <c r="P133" s="53">
        <f t="shared" si="33"/>
        <v>0</v>
      </c>
      <c r="Q133" s="1"/>
      <c r="R133" s="1"/>
      <c r="S133" s="1"/>
      <c r="T133" s="1"/>
      <c r="U133" s="1"/>
    </row>
    <row r="134" spans="2:21">
      <c r="B134" t="str">
        <f t="shared" si="26"/>
        <v/>
      </c>
      <c r="C134" s="49">
        <f>IF(D94="","-",+C133+1)</f>
        <v>2046</v>
      </c>
      <c r="D134" s="11">
        <f>IF(F133+SUM(E$100:E133)=D$93,F133,D$93-SUM(E$100:E133))</f>
        <v>0</v>
      </c>
      <c r="E134" s="377">
        <f>IF(+J97&lt;F133,J97,D134)</f>
        <v>0</v>
      </c>
      <c r="F134" s="54">
        <f t="shared" si="34"/>
        <v>0</v>
      </c>
      <c r="G134" s="54">
        <f t="shared" si="27"/>
        <v>0</v>
      </c>
      <c r="H134" s="388">
        <f t="shared" si="28"/>
        <v>0</v>
      </c>
      <c r="I134" s="407">
        <f t="shared" si="29"/>
        <v>0</v>
      </c>
      <c r="J134" s="53">
        <f t="shared" si="30"/>
        <v>0</v>
      </c>
      <c r="K134" s="53"/>
      <c r="L134" s="112"/>
      <c r="M134" s="53">
        <f t="shared" si="31"/>
        <v>0</v>
      </c>
      <c r="N134" s="112"/>
      <c r="O134" s="53">
        <f t="shared" si="32"/>
        <v>0</v>
      </c>
      <c r="P134" s="53">
        <f t="shared" si="33"/>
        <v>0</v>
      </c>
      <c r="Q134" s="1"/>
      <c r="R134" s="1"/>
      <c r="S134" s="1"/>
      <c r="T134" s="1"/>
      <c r="U134" s="1"/>
    </row>
    <row r="135" spans="2:21">
      <c r="B135" t="str">
        <f t="shared" si="26"/>
        <v/>
      </c>
      <c r="C135" s="49">
        <f>IF(D94="","-",+C134+1)</f>
        <v>2047</v>
      </c>
      <c r="D135" s="11">
        <f>IF(F134+SUM(E$100:E134)=D$93,F134,D$93-SUM(E$100:E134))</f>
        <v>0</v>
      </c>
      <c r="E135" s="377">
        <f>IF(+J97&lt;F134,J97,D135)</f>
        <v>0</v>
      </c>
      <c r="F135" s="54">
        <f t="shared" si="34"/>
        <v>0</v>
      </c>
      <c r="G135" s="54">
        <f t="shared" si="27"/>
        <v>0</v>
      </c>
      <c r="H135" s="388">
        <f t="shared" si="28"/>
        <v>0</v>
      </c>
      <c r="I135" s="407">
        <f t="shared" si="29"/>
        <v>0</v>
      </c>
      <c r="J135" s="53">
        <f t="shared" si="30"/>
        <v>0</v>
      </c>
      <c r="K135" s="53"/>
      <c r="L135" s="112"/>
      <c r="M135" s="53">
        <f t="shared" si="31"/>
        <v>0</v>
      </c>
      <c r="N135" s="112"/>
      <c r="O135" s="53">
        <f t="shared" si="32"/>
        <v>0</v>
      </c>
      <c r="P135" s="53">
        <f t="shared" si="33"/>
        <v>0</v>
      </c>
      <c r="Q135" s="1"/>
      <c r="R135" s="1"/>
      <c r="S135" s="1"/>
      <c r="T135" s="1"/>
      <c r="U135" s="1"/>
    </row>
    <row r="136" spans="2:21">
      <c r="B136" t="str">
        <f t="shared" si="26"/>
        <v/>
      </c>
      <c r="C136" s="49">
        <f>IF(D94="","-",+C135+1)</f>
        <v>2048</v>
      </c>
      <c r="D136" s="11">
        <f>IF(F135+SUM(E$100:E135)=D$93,F135,D$93-SUM(E$100:E135))</f>
        <v>0</v>
      </c>
      <c r="E136" s="377">
        <f>IF(+J97&lt;F135,J97,D136)</f>
        <v>0</v>
      </c>
      <c r="F136" s="54">
        <f t="shared" si="34"/>
        <v>0</v>
      </c>
      <c r="G136" s="54">
        <f t="shared" si="27"/>
        <v>0</v>
      </c>
      <c r="H136" s="388">
        <f t="shared" si="28"/>
        <v>0</v>
      </c>
      <c r="I136" s="407">
        <f t="shared" si="29"/>
        <v>0</v>
      </c>
      <c r="J136" s="53">
        <f t="shared" si="30"/>
        <v>0</v>
      </c>
      <c r="K136" s="53"/>
      <c r="L136" s="112"/>
      <c r="M136" s="53">
        <f t="shared" si="31"/>
        <v>0</v>
      </c>
      <c r="N136" s="112"/>
      <c r="O136" s="53">
        <f t="shared" si="32"/>
        <v>0</v>
      </c>
      <c r="P136" s="53">
        <f t="shared" si="33"/>
        <v>0</v>
      </c>
      <c r="Q136" s="1"/>
      <c r="R136" s="1"/>
      <c r="S136" s="1"/>
      <c r="T136" s="1"/>
      <c r="U136" s="1"/>
    </row>
    <row r="137" spans="2:21">
      <c r="B137" t="str">
        <f t="shared" si="26"/>
        <v/>
      </c>
      <c r="C137" s="49">
        <f>IF(D94="","-",+C136+1)</f>
        <v>2049</v>
      </c>
      <c r="D137" s="11">
        <f>IF(F136+SUM(E$100:E136)=D$93,F136,D$93-SUM(E$100:E136))</f>
        <v>0</v>
      </c>
      <c r="E137" s="377">
        <f>IF(+J97&lt;F136,J97,D137)</f>
        <v>0</v>
      </c>
      <c r="F137" s="54">
        <f t="shared" si="34"/>
        <v>0</v>
      </c>
      <c r="G137" s="54">
        <f t="shared" si="27"/>
        <v>0</v>
      </c>
      <c r="H137" s="388">
        <f t="shared" si="28"/>
        <v>0</v>
      </c>
      <c r="I137" s="407">
        <f t="shared" si="29"/>
        <v>0</v>
      </c>
      <c r="J137" s="53">
        <f t="shared" si="30"/>
        <v>0</v>
      </c>
      <c r="K137" s="53"/>
      <c r="L137" s="112"/>
      <c r="M137" s="53">
        <f t="shared" si="31"/>
        <v>0</v>
      </c>
      <c r="N137" s="112"/>
      <c r="O137" s="53">
        <f t="shared" si="32"/>
        <v>0</v>
      </c>
      <c r="P137" s="53">
        <f t="shared" si="33"/>
        <v>0</v>
      </c>
      <c r="Q137" s="1"/>
      <c r="R137" s="1"/>
      <c r="S137" s="1"/>
      <c r="T137" s="1"/>
      <c r="U137" s="1"/>
    </row>
    <row r="138" spans="2:21">
      <c r="B138" t="str">
        <f t="shared" si="26"/>
        <v/>
      </c>
      <c r="C138" s="49">
        <f>IF(D94="","-",+C137+1)</f>
        <v>2050</v>
      </c>
      <c r="D138" s="11">
        <f>IF(F137+SUM(E$100:E137)=D$93,F137,D$93-SUM(E$100:E137))</f>
        <v>0</v>
      </c>
      <c r="E138" s="377">
        <f>IF(+J97&lt;F137,J97,D138)</f>
        <v>0</v>
      </c>
      <c r="F138" s="54">
        <f t="shared" si="34"/>
        <v>0</v>
      </c>
      <c r="G138" s="54">
        <f t="shared" si="27"/>
        <v>0</v>
      </c>
      <c r="H138" s="388">
        <f t="shared" si="28"/>
        <v>0</v>
      </c>
      <c r="I138" s="407">
        <f t="shared" si="29"/>
        <v>0</v>
      </c>
      <c r="J138" s="53">
        <f t="shared" si="30"/>
        <v>0</v>
      </c>
      <c r="K138" s="53"/>
      <c r="L138" s="112"/>
      <c r="M138" s="53">
        <f t="shared" si="31"/>
        <v>0</v>
      </c>
      <c r="N138" s="112"/>
      <c r="O138" s="53">
        <f t="shared" si="32"/>
        <v>0</v>
      </c>
      <c r="P138" s="53">
        <f t="shared" si="33"/>
        <v>0</v>
      </c>
      <c r="Q138" s="1"/>
      <c r="R138" s="1"/>
      <c r="S138" s="1"/>
      <c r="T138" s="1"/>
      <c r="U138" s="1"/>
    </row>
    <row r="139" spans="2:21">
      <c r="B139" t="str">
        <f t="shared" si="26"/>
        <v/>
      </c>
      <c r="C139" s="49">
        <f>IF(D94="","-",+C138+1)</f>
        <v>2051</v>
      </c>
      <c r="D139" s="11">
        <f>IF(F138+SUM(E$100:E138)=D$93,F138,D$93-SUM(E$100:E138))</f>
        <v>0</v>
      </c>
      <c r="E139" s="377">
        <f>IF(+J97&lt;F138,J97,D139)</f>
        <v>0</v>
      </c>
      <c r="F139" s="54">
        <f t="shared" si="34"/>
        <v>0</v>
      </c>
      <c r="G139" s="54">
        <f t="shared" si="27"/>
        <v>0</v>
      </c>
      <c r="H139" s="388">
        <f t="shared" si="28"/>
        <v>0</v>
      </c>
      <c r="I139" s="407">
        <f t="shared" si="29"/>
        <v>0</v>
      </c>
      <c r="J139" s="53">
        <f t="shared" si="30"/>
        <v>0</v>
      </c>
      <c r="K139" s="53"/>
      <c r="L139" s="112"/>
      <c r="M139" s="53">
        <f t="shared" si="31"/>
        <v>0</v>
      </c>
      <c r="N139" s="112"/>
      <c r="O139" s="53">
        <f t="shared" si="32"/>
        <v>0</v>
      </c>
      <c r="P139" s="53">
        <f t="shared" si="33"/>
        <v>0</v>
      </c>
      <c r="Q139" s="1"/>
      <c r="R139" s="1"/>
      <c r="S139" s="1"/>
      <c r="T139" s="1"/>
      <c r="U139" s="1"/>
    </row>
    <row r="140" spans="2:21">
      <c r="B140" t="str">
        <f t="shared" si="26"/>
        <v/>
      </c>
      <c r="C140" s="49">
        <f>IF(D94="","-",+C139+1)</f>
        <v>2052</v>
      </c>
      <c r="D140" s="11">
        <f>IF(F139+SUM(E$100:E139)=D$93,F139,D$93-SUM(E$100:E139))</f>
        <v>0</v>
      </c>
      <c r="E140" s="377">
        <f>IF(+J97&lt;F139,J97,D140)</f>
        <v>0</v>
      </c>
      <c r="F140" s="54">
        <f t="shared" si="34"/>
        <v>0</v>
      </c>
      <c r="G140" s="54">
        <f t="shared" si="27"/>
        <v>0</v>
      </c>
      <c r="H140" s="388">
        <f t="shared" si="28"/>
        <v>0</v>
      </c>
      <c r="I140" s="407">
        <f t="shared" si="29"/>
        <v>0</v>
      </c>
      <c r="J140" s="53">
        <f t="shared" si="30"/>
        <v>0</v>
      </c>
      <c r="K140" s="53"/>
      <c r="L140" s="112"/>
      <c r="M140" s="53">
        <f t="shared" si="31"/>
        <v>0</v>
      </c>
      <c r="N140" s="112"/>
      <c r="O140" s="53">
        <f t="shared" si="32"/>
        <v>0</v>
      </c>
      <c r="P140" s="53">
        <f t="shared" si="33"/>
        <v>0</v>
      </c>
      <c r="Q140" s="1"/>
      <c r="R140" s="1"/>
      <c r="S140" s="1"/>
      <c r="T140" s="1"/>
      <c r="U140" s="1"/>
    </row>
    <row r="141" spans="2:21">
      <c r="B141" t="str">
        <f t="shared" si="26"/>
        <v/>
      </c>
      <c r="C141" s="49">
        <f>IF(D94="","-",+C140+1)</f>
        <v>2053</v>
      </c>
      <c r="D141" s="11">
        <f>IF(F140+SUM(E$100:E140)=D$93,F140,D$93-SUM(E$100:E140))</f>
        <v>0</v>
      </c>
      <c r="E141" s="377">
        <f>IF(+J97&lt;F140,J97,D141)</f>
        <v>0</v>
      </c>
      <c r="F141" s="54">
        <f t="shared" si="34"/>
        <v>0</v>
      </c>
      <c r="G141" s="54">
        <f t="shared" si="27"/>
        <v>0</v>
      </c>
      <c r="H141" s="388">
        <f t="shared" si="28"/>
        <v>0</v>
      </c>
      <c r="I141" s="407">
        <f t="shared" si="29"/>
        <v>0</v>
      </c>
      <c r="J141" s="53">
        <f t="shared" si="30"/>
        <v>0</v>
      </c>
      <c r="K141" s="53"/>
      <c r="L141" s="112"/>
      <c r="M141" s="53">
        <f t="shared" si="31"/>
        <v>0</v>
      </c>
      <c r="N141" s="112"/>
      <c r="O141" s="53">
        <f t="shared" si="32"/>
        <v>0</v>
      </c>
      <c r="P141" s="53">
        <f t="shared" si="33"/>
        <v>0</v>
      </c>
      <c r="Q141" s="1"/>
      <c r="R141" s="1"/>
      <c r="S141" s="1"/>
      <c r="T141" s="1"/>
      <c r="U141" s="1"/>
    </row>
    <row r="142" spans="2:21">
      <c r="B142" t="str">
        <f t="shared" si="26"/>
        <v/>
      </c>
      <c r="C142" s="49">
        <f>IF(D94="","-",+C141+1)</f>
        <v>2054</v>
      </c>
      <c r="D142" s="11">
        <f>IF(F141+SUM(E$100:E141)=D$93,F141,D$93-SUM(E$100:E141))</f>
        <v>0</v>
      </c>
      <c r="E142" s="377">
        <f>IF(+J97&lt;F141,J97,D142)</f>
        <v>0</v>
      </c>
      <c r="F142" s="54">
        <f t="shared" si="34"/>
        <v>0</v>
      </c>
      <c r="G142" s="54">
        <f t="shared" si="27"/>
        <v>0</v>
      </c>
      <c r="H142" s="388">
        <f t="shared" si="28"/>
        <v>0</v>
      </c>
      <c r="I142" s="407">
        <f t="shared" si="29"/>
        <v>0</v>
      </c>
      <c r="J142" s="53">
        <f t="shared" si="30"/>
        <v>0</v>
      </c>
      <c r="K142" s="53"/>
      <c r="L142" s="112"/>
      <c r="M142" s="53">
        <f t="shared" si="31"/>
        <v>0</v>
      </c>
      <c r="N142" s="112"/>
      <c r="O142" s="53">
        <f t="shared" si="32"/>
        <v>0</v>
      </c>
      <c r="P142" s="53">
        <f t="shared" si="33"/>
        <v>0</v>
      </c>
      <c r="Q142" s="1"/>
      <c r="R142" s="1"/>
      <c r="S142" s="1"/>
      <c r="T142" s="1"/>
      <c r="U142" s="1"/>
    </row>
    <row r="143" spans="2:21">
      <c r="B143" t="str">
        <f t="shared" si="26"/>
        <v/>
      </c>
      <c r="C143" s="49">
        <f>IF(D94="","-",+C142+1)</f>
        <v>2055</v>
      </c>
      <c r="D143" s="11">
        <f>IF(F142+SUM(E$100:E142)=D$93,F142,D$93-SUM(E$100:E142))</f>
        <v>0</v>
      </c>
      <c r="E143" s="377">
        <f>IF(+J97&lt;F142,J97,D143)</f>
        <v>0</v>
      </c>
      <c r="F143" s="54">
        <f t="shared" si="34"/>
        <v>0</v>
      </c>
      <c r="G143" s="54">
        <f t="shared" si="27"/>
        <v>0</v>
      </c>
      <c r="H143" s="388">
        <f t="shared" si="28"/>
        <v>0</v>
      </c>
      <c r="I143" s="407">
        <f t="shared" si="29"/>
        <v>0</v>
      </c>
      <c r="J143" s="53">
        <f t="shared" si="30"/>
        <v>0</v>
      </c>
      <c r="K143" s="53"/>
      <c r="L143" s="112"/>
      <c r="M143" s="53">
        <f t="shared" si="31"/>
        <v>0</v>
      </c>
      <c r="N143" s="112"/>
      <c r="O143" s="53">
        <f t="shared" si="32"/>
        <v>0</v>
      </c>
      <c r="P143" s="53">
        <f t="shared" si="33"/>
        <v>0</v>
      </c>
      <c r="Q143" s="1"/>
      <c r="R143" s="1"/>
      <c r="S143" s="1"/>
      <c r="T143" s="1"/>
      <c r="U143" s="1"/>
    </row>
    <row r="144" spans="2:21">
      <c r="B144" t="str">
        <f t="shared" si="26"/>
        <v/>
      </c>
      <c r="C144" s="49">
        <f>IF(D94="","-",+C143+1)</f>
        <v>2056</v>
      </c>
      <c r="D144" s="11">
        <f>IF(F143+SUM(E$100:E143)=D$93,F143,D$93-SUM(E$100:E143))</f>
        <v>0</v>
      </c>
      <c r="E144" s="377">
        <f>IF(+J97&lt;F143,J97,D144)</f>
        <v>0</v>
      </c>
      <c r="F144" s="54">
        <f t="shared" si="34"/>
        <v>0</v>
      </c>
      <c r="G144" s="54">
        <f t="shared" si="27"/>
        <v>0</v>
      </c>
      <c r="H144" s="388">
        <f t="shared" si="28"/>
        <v>0</v>
      </c>
      <c r="I144" s="407">
        <f t="shared" si="29"/>
        <v>0</v>
      </c>
      <c r="J144" s="53">
        <f t="shared" si="30"/>
        <v>0</v>
      </c>
      <c r="K144" s="53"/>
      <c r="L144" s="112"/>
      <c r="M144" s="53">
        <f t="shared" si="31"/>
        <v>0</v>
      </c>
      <c r="N144" s="112"/>
      <c r="O144" s="53">
        <f t="shared" si="32"/>
        <v>0</v>
      </c>
      <c r="P144" s="53">
        <f t="shared" si="33"/>
        <v>0</v>
      </c>
      <c r="Q144" s="1"/>
      <c r="R144" s="1"/>
      <c r="S144" s="1"/>
      <c r="T144" s="1"/>
      <c r="U144" s="1"/>
    </row>
    <row r="145" spans="2:21">
      <c r="B145" t="str">
        <f t="shared" si="26"/>
        <v/>
      </c>
      <c r="C145" s="49">
        <f>IF(D94="","-",+C144+1)</f>
        <v>2057</v>
      </c>
      <c r="D145" s="11">
        <f>IF(F144+SUM(E$100:E144)=D$93,F144,D$93-SUM(E$100:E144))</f>
        <v>0</v>
      </c>
      <c r="E145" s="377">
        <f>IF(+J97&lt;F144,J97,D145)</f>
        <v>0</v>
      </c>
      <c r="F145" s="54">
        <f t="shared" si="34"/>
        <v>0</v>
      </c>
      <c r="G145" s="54">
        <f t="shared" si="27"/>
        <v>0</v>
      </c>
      <c r="H145" s="388">
        <f t="shared" si="28"/>
        <v>0</v>
      </c>
      <c r="I145" s="407">
        <f t="shared" si="29"/>
        <v>0</v>
      </c>
      <c r="J145" s="53">
        <f t="shared" si="30"/>
        <v>0</v>
      </c>
      <c r="K145" s="53"/>
      <c r="L145" s="112"/>
      <c r="M145" s="53">
        <f t="shared" si="31"/>
        <v>0</v>
      </c>
      <c r="N145" s="112"/>
      <c r="O145" s="53">
        <f t="shared" si="32"/>
        <v>0</v>
      </c>
      <c r="P145" s="53">
        <f t="shared" si="33"/>
        <v>0</v>
      </c>
      <c r="Q145" s="1"/>
      <c r="R145" s="1"/>
      <c r="S145" s="1"/>
      <c r="T145" s="1"/>
      <c r="U145" s="1"/>
    </row>
    <row r="146" spans="2:21">
      <c r="B146" t="str">
        <f t="shared" si="26"/>
        <v/>
      </c>
      <c r="C146" s="49">
        <f>IF(D94="","-",+C145+1)</f>
        <v>2058</v>
      </c>
      <c r="D146" s="11">
        <f>IF(F145+SUM(E$100:E145)=D$93,F145,D$93-SUM(E$100:E145))</f>
        <v>0</v>
      </c>
      <c r="E146" s="377">
        <f>IF(+J97&lt;F145,J97,D146)</f>
        <v>0</v>
      </c>
      <c r="F146" s="54">
        <f t="shared" si="34"/>
        <v>0</v>
      </c>
      <c r="G146" s="54">
        <f t="shared" si="27"/>
        <v>0</v>
      </c>
      <c r="H146" s="388">
        <f t="shared" si="28"/>
        <v>0</v>
      </c>
      <c r="I146" s="407">
        <f t="shared" si="29"/>
        <v>0</v>
      </c>
      <c r="J146" s="53">
        <f t="shared" si="30"/>
        <v>0</v>
      </c>
      <c r="K146" s="53"/>
      <c r="L146" s="112"/>
      <c r="M146" s="53">
        <f t="shared" si="31"/>
        <v>0</v>
      </c>
      <c r="N146" s="112"/>
      <c r="O146" s="53">
        <f t="shared" si="32"/>
        <v>0</v>
      </c>
      <c r="P146" s="53">
        <f t="shared" si="33"/>
        <v>0</v>
      </c>
      <c r="Q146" s="1"/>
      <c r="R146" s="1"/>
      <c r="S146" s="1"/>
      <c r="T146" s="1"/>
      <c r="U146" s="1"/>
    </row>
    <row r="147" spans="2:21">
      <c r="B147" t="str">
        <f t="shared" si="26"/>
        <v/>
      </c>
      <c r="C147" s="49">
        <f>IF(D94="","-",+C146+1)</f>
        <v>2059</v>
      </c>
      <c r="D147" s="11">
        <f>IF(F146+SUM(E$100:E146)=D$93,F146,D$93-SUM(E$100:E146))</f>
        <v>0</v>
      </c>
      <c r="E147" s="377">
        <f>IF(+J97&lt;F146,J97,D147)</f>
        <v>0</v>
      </c>
      <c r="F147" s="54">
        <f t="shared" si="34"/>
        <v>0</v>
      </c>
      <c r="G147" s="54">
        <f t="shared" si="27"/>
        <v>0</v>
      </c>
      <c r="H147" s="388">
        <f t="shared" si="28"/>
        <v>0</v>
      </c>
      <c r="I147" s="407">
        <f t="shared" si="29"/>
        <v>0</v>
      </c>
      <c r="J147" s="53">
        <f t="shared" si="30"/>
        <v>0</v>
      </c>
      <c r="K147" s="53"/>
      <c r="L147" s="112"/>
      <c r="M147" s="53">
        <f t="shared" si="31"/>
        <v>0</v>
      </c>
      <c r="N147" s="112"/>
      <c r="O147" s="53">
        <f t="shared" si="32"/>
        <v>0</v>
      </c>
      <c r="P147" s="53">
        <f t="shared" si="33"/>
        <v>0</v>
      </c>
      <c r="Q147" s="1"/>
      <c r="R147" s="1"/>
      <c r="S147" s="1"/>
      <c r="T147" s="1"/>
      <c r="U147" s="1"/>
    </row>
    <row r="148" spans="2:21">
      <c r="B148" t="str">
        <f t="shared" si="26"/>
        <v/>
      </c>
      <c r="C148" s="49">
        <f>IF(D94="","-",+C147+1)</f>
        <v>2060</v>
      </c>
      <c r="D148" s="11">
        <f>IF(F147+SUM(E$100:E147)=D$93,F147,D$93-SUM(E$100:E147))</f>
        <v>0</v>
      </c>
      <c r="E148" s="377">
        <f>IF(+J97&lt;F147,J97,D148)</f>
        <v>0</v>
      </c>
      <c r="F148" s="54">
        <f t="shared" si="34"/>
        <v>0</v>
      </c>
      <c r="G148" s="54">
        <f t="shared" si="27"/>
        <v>0</v>
      </c>
      <c r="H148" s="388">
        <f t="shared" si="28"/>
        <v>0</v>
      </c>
      <c r="I148" s="407">
        <f t="shared" si="29"/>
        <v>0</v>
      </c>
      <c r="J148" s="53">
        <f t="shared" si="30"/>
        <v>0</v>
      </c>
      <c r="K148" s="53"/>
      <c r="L148" s="112"/>
      <c r="M148" s="53">
        <f t="shared" si="31"/>
        <v>0</v>
      </c>
      <c r="N148" s="112"/>
      <c r="O148" s="53">
        <f t="shared" si="32"/>
        <v>0</v>
      </c>
      <c r="P148" s="53">
        <f t="shared" si="33"/>
        <v>0</v>
      </c>
      <c r="Q148" s="1"/>
      <c r="R148" s="1"/>
      <c r="S148" s="1"/>
      <c r="T148" s="1"/>
      <c r="U148" s="1"/>
    </row>
    <row r="149" spans="2:21">
      <c r="B149" t="str">
        <f t="shared" si="26"/>
        <v/>
      </c>
      <c r="C149" s="49">
        <f>IF(D94="","-",+C148+1)</f>
        <v>2061</v>
      </c>
      <c r="D149" s="11">
        <f>IF(F148+SUM(E$100:E148)=D$93,F148,D$93-SUM(E$100:E148))</f>
        <v>0</v>
      </c>
      <c r="E149" s="377">
        <f>IF(+J97&lt;F148,J97,D149)</f>
        <v>0</v>
      </c>
      <c r="F149" s="54">
        <f t="shared" si="34"/>
        <v>0</v>
      </c>
      <c r="G149" s="54">
        <f t="shared" si="27"/>
        <v>0</v>
      </c>
      <c r="H149" s="388">
        <f t="shared" si="28"/>
        <v>0</v>
      </c>
      <c r="I149" s="407">
        <f t="shared" si="29"/>
        <v>0</v>
      </c>
      <c r="J149" s="53">
        <f t="shared" si="30"/>
        <v>0</v>
      </c>
      <c r="K149" s="53"/>
      <c r="L149" s="112"/>
      <c r="M149" s="53">
        <f t="shared" si="31"/>
        <v>0</v>
      </c>
      <c r="N149" s="112"/>
      <c r="O149" s="53">
        <f t="shared" si="32"/>
        <v>0</v>
      </c>
      <c r="P149" s="53">
        <f t="shared" si="33"/>
        <v>0</v>
      </c>
      <c r="Q149" s="1"/>
      <c r="R149" s="1"/>
      <c r="S149" s="1"/>
      <c r="T149" s="1"/>
      <c r="U149" s="1"/>
    </row>
    <row r="150" spans="2:21">
      <c r="B150" t="str">
        <f t="shared" si="26"/>
        <v/>
      </c>
      <c r="C150" s="49">
        <f>IF(D94="","-",+C149+1)</f>
        <v>2062</v>
      </c>
      <c r="D150" s="11">
        <f>IF(F149+SUM(E$100:E149)=D$93,F149,D$93-SUM(E$100:E149))</f>
        <v>0</v>
      </c>
      <c r="E150" s="377">
        <f>IF(+J97&lt;F149,J97,D150)</f>
        <v>0</v>
      </c>
      <c r="F150" s="54">
        <f t="shared" si="34"/>
        <v>0</v>
      </c>
      <c r="G150" s="54">
        <f t="shared" si="27"/>
        <v>0</v>
      </c>
      <c r="H150" s="388">
        <f t="shared" si="28"/>
        <v>0</v>
      </c>
      <c r="I150" s="407">
        <f t="shared" si="29"/>
        <v>0</v>
      </c>
      <c r="J150" s="53">
        <f t="shared" si="30"/>
        <v>0</v>
      </c>
      <c r="K150" s="53"/>
      <c r="L150" s="112"/>
      <c r="M150" s="53">
        <f t="shared" si="31"/>
        <v>0</v>
      </c>
      <c r="N150" s="112"/>
      <c r="O150" s="53">
        <f t="shared" si="32"/>
        <v>0</v>
      </c>
      <c r="P150" s="53">
        <f t="shared" si="33"/>
        <v>0</v>
      </c>
      <c r="Q150" s="1"/>
      <c r="R150" s="1"/>
      <c r="S150" s="1"/>
      <c r="T150" s="1"/>
      <c r="U150" s="1"/>
    </row>
    <row r="151" spans="2:21">
      <c r="B151" t="str">
        <f t="shared" si="26"/>
        <v/>
      </c>
      <c r="C151" s="49">
        <f>IF(D94="","-",+C150+1)</f>
        <v>2063</v>
      </c>
      <c r="D151" s="11">
        <f>IF(F150+SUM(E$100:E150)=D$93,F150,D$93-SUM(E$100:E150))</f>
        <v>0</v>
      </c>
      <c r="E151" s="377">
        <f>IF(+J97&lt;F150,J97,D151)</f>
        <v>0</v>
      </c>
      <c r="F151" s="54">
        <f t="shared" si="34"/>
        <v>0</v>
      </c>
      <c r="G151" s="54">
        <f t="shared" si="27"/>
        <v>0</v>
      </c>
      <c r="H151" s="388">
        <f t="shared" si="28"/>
        <v>0</v>
      </c>
      <c r="I151" s="407">
        <f t="shared" si="29"/>
        <v>0</v>
      </c>
      <c r="J151" s="53">
        <f t="shared" si="30"/>
        <v>0</v>
      </c>
      <c r="K151" s="53"/>
      <c r="L151" s="112"/>
      <c r="M151" s="53">
        <f t="shared" si="31"/>
        <v>0</v>
      </c>
      <c r="N151" s="112"/>
      <c r="O151" s="53">
        <f t="shared" si="32"/>
        <v>0</v>
      </c>
      <c r="P151" s="53">
        <f t="shared" si="33"/>
        <v>0</v>
      </c>
      <c r="Q151" s="1"/>
      <c r="R151" s="1"/>
      <c r="S151" s="1"/>
      <c r="T151" s="1"/>
      <c r="U151" s="1"/>
    </row>
    <row r="152" spans="2:21">
      <c r="B152" t="str">
        <f t="shared" si="26"/>
        <v/>
      </c>
      <c r="C152" s="49">
        <f>IF(D94="","-",+C151+1)</f>
        <v>2064</v>
      </c>
      <c r="D152" s="11">
        <f>IF(F151+SUM(E$100:E151)=D$93,F151,D$93-SUM(E$100:E151))</f>
        <v>0</v>
      </c>
      <c r="E152" s="377">
        <f>IF(+J97&lt;F151,J97,D152)</f>
        <v>0</v>
      </c>
      <c r="F152" s="54">
        <f t="shared" si="34"/>
        <v>0</v>
      </c>
      <c r="G152" s="54">
        <f t="shared" si="27"/>
        <v>0</v>
      </c>
      <c r="H152" s="388">
        <f t="shared" si="28"/>
        <v>0</v>
      </c>
      <c r="I152" s="407">
        <f t="shared" si="29"/>
        <v>0</v>
      </c>
      <c r="J152" s="53">
        <f t="shared" si="30"/>
        <v>0</v>
      </c>
      <c r="K152" s="53"/>
      <c r="L152" s="112"/>
      <c r="M152" s="53">
        <f t="shared" si="31"/>
        <v>0</v>
      </c>
      <c r="N152" s="112"/>
      <c r="O152" s="53">
        <f t="shared" si="32"/>
        <v>0</v>
      </c>
      <c r="P152" s="53">
        <f t="shared" si="33"/>
        <v>0</v>
      </c>
      <c r="Q152" s="1"/>
      <c r="R152" s="1"/>
      <c r="S152" s="1"/>
      <c r="T152" s="1"/>
      <c r="U152" s="1"/>
    </row>
    <row r="153" spans="2:21">
      <c r="B153" t="str">
        <f t="shared" si="26"/>
        <v/>
      </c>
      <c r="C153" s="49">
        <f>IF(D94="","-",+C152+1)</f>
        <v>2065</v>
      </c>
      <c r="D153" s="11">
        <f>IF(F152+SUM(E$100:E152)=D$93,F152,D$93-SUM(E$100:E152))</f>
        <v>0</v>
      </c>
      <c r="E153" s="377">
        <f>IF(+J97&lt;F152,J97,D153)</f>
        <v>0</v>
      </c>
      <c r="F153" s="54">
        <f t="shared" si="34"/>
        <v>0</v>
      </c>
      <c r="G153" s="54">
        <f t="shared" si="27"/>
        <v>0</v>
      </c>
      <c r="H153" s="388">
        <f t="shared" si="28"/>
        <v>0</v>
      </c>
      <c r="I153" s="407">
        <f t="shared" si="29"/>
        <v>0</v>
      </c>
      <c r="J153" s="53">
        <f t="shared" si="30"/>
        <v>0</v>
      </c>
      <c r="K153" s="53"/>
      <c r="L153" s="112"/>
      <c r="M153" s="53">
        <f t="shared" si="31"/>
        <v>0</v>
      </c>
      <c r="N153" s="112"/>
      <c r="O153" s="53">
        <f t="shared" si="32"/>
        <v>0</v>
      </c>
      <c r="P153" s="53">
        <f t="shared" si="33"/>
        <v>0</v>
      </c>
      <c r="Q153" s="1"/>
      <c r="R153" s="1"/>
      <c r="S153" s="1"/>
      <c r="T153" s="1"/>
      <c r="U153" s="1"/>
    </row>
    <row r="154" spans="2:21">
      <c r="B154" t="str">
        <f t="shared" si="26"/>
        <v/>
      </c>
      <c r="C154" s="49">
        <f>IF(D94="","-",+C153+1)</f>
        <v>2066</v>
      </c>
      <c r="D154" s="11">
        <f>IF(F153+SUM(E$100:E153)=D$93,F153,D$93-SUM(E$100:E153))</f>
        <v>0</v>
      </c>
      <c r="E154" s="377">
        <f>IF(+J97&lt;F153,J97,D154)</f>
        <v>0</v>
      </c>
      <c r="F154" s="54">
        <f t="shared" si="34"/>
        <v>0</v>
      </c>
      <c r="G154" s="54">
        <f t="shared" si="27"/>
        <v>0</v>
      </c>
      <c r="H154" s="388">
        <f t="shared" si="28"/>
        <v>0</v>
      </c>
      <c r="I154" s="407">
        <f t="shared" si="29"/>
        <v>0</v>
      </c>
      <c r="J154" s="53">
        <f t="shared" si="30"/>
        <v>0</v>
      </c>
      <c r="K154" s="53"/>
      <c r="L154" s="112"/>
      <c r="M154" s="53">
        <f t="shared" si="31"/>
        <v>0</v>
      </c>
      <c r="N154" s="112"/>
      <c r="O154" s="53">
        <f t="shared" si="32"/>
        <v>0</v>
      </c>
      <c r="P154" s="53">
        <f t="shared" si="33"/>
        <v>0</v>
      </c>
      <c r="Q154" s="1"/>
      <c r="R154" s="1"/>
      <c r="S154" s="1"/>
      <c r="T154" s="1"/>
      <c r="U154" s="1"/>
    </row>
    <row r="155" spans="2:21" ht="13.5" thickBot="1">
      <c r="B155" t="str">
        <f t="shared" si="26"/>
        <v/>
      </c>
      <c r="C155" s="58">
        <f>IF(D94="","-",+C154+1)</f>
        <v>2067</v>
      </c>
      <c r="D155" s="59">
        <f>IF(F154+SUM(E$100:E154)=D$93,F154,D$93-SUM(E$100:E154))</f>
        <v>0</v>
      </c>
      <c r="E155" s="389">
        <f>IF(+J97&lt;F154,J97,D155)</f>
        <v>0</v>
      </c>
      <c r="F155" s="59">
        <f t="shared" si="34"/>
        <v>0</v>
      </c>
      <c r="G155" s="59">
        <f t="shared" si="27"/>
        <v>0</v>
      </c>
      <c r="H155" s="390">
        <f t="shared" si="28"/>
        <v>0</v>
      </c>
      <c r="I155" s="408">
        <f t="shared" si="29"/>
        <v>0</v>
      </c>
      <c r="J155" s="63">
        <f t="shared" si="30"/>
        <v>0</v>
      </c>
      <c r="K155" s="53"/>
      <c r="L155" s="113"/>
      <c r="M155" s="63">
        <f t="shared" si="31"/>
        <v>0</v>
      </c>
      <c r="N155" s="113"/>
      <c r="O155" s="63">
        <f t="shared" si="32"/>
        <v>0</v>
      </c>
      <c r="P155" s="63">
        <f t="shared" si="33"/>
        <v>0</v>
      </c>
      <c r="Q155" s="1"/>
      <c r="R155" s="1"/>
      <c r="S155" s="1"/>
      <c r="T155" s="1"/>
      <c r="U155" s="1"/>
    </row>
    <row r="156" spans="2:21">
      <c r="C156" s="11" t="s">
        <v>75</v>
      </c>
      <c r="D156" s="242"/>
      <c r="E156" s="242">
        <f>SUM(E100:E155)</f>
        <v>0</v>
      </c>
      <c r="F156" s="242"/>
      <c r="G156" s="242"/>
      <c r="H156" s="242">
        <f>SUM(H100:H155)</f>
        <v>0</v>
      </c>
      <c r="I156" s="242">
        <f>SUM(I100:I155)</f>
        <v>0</v>
      </c>
      <c r="J156" s="242">
        <f>SUM(J100:J155)</f>
        <v>0</v>
      </c>
      <c r="K156" s="242"/>
      <c r="L156" s="242"/>
      <c r="M156" s="242"/>
      <c r="N156" s="242"/>
      <c r="O156" s="242"/>
      <c r="P156" s="1"/>
      <c r="Q156" s="1"/>
      <c r="R156" s="1"/>
      <c r="S156" s="1"/>
      <c r="T156" s="1"/>
      <c r="U156" s="1"/>
    </row>
    <row r="157" spans="2:21">
      <c r="D157" s="2"/>
      <c r="E157" s="1"/>
      <c r="F157" s="1"/>
      <c r="G157" s="1"/>
      <c r="H157" s="1"/>
      <c r="I157" s="260"/>
      <c r="J157" s="260"/>
      <c r="K157" s="242"/>
      <c r="L157" s="260"/>
      <c r="M157" s="260"/>
      <c r="N157" s="260"/>
      <c r="O157" s="260"/>
      <c r="P157" s="1"/>
      <c r="Q157" s="1"/>
      <c r="R157" s="1"/>
      <c r="S157" s="1"/>
      <c r="T157" s="1"/>
      <c r="U157" s="1"/>
    </row>
    <row r="158" spans="2:21">
      <c r="C158" s="83" t="s">
        <v>90</v>
      </c>
      <c r="D158" s="2"/>
      <c r="E158" s="1"/>
      <c r="F158" s="1"/>
      <c r="G158" s="1"/>
      <c r="H158" s="1"/>
      <c r="I158" s="260"/>
      <c r="J158" s="260"/>
      <c r="K158" s="242"/>
      <c r="L158" s="260"/>
      <c r="M158" s="260"/>
      <c r="N158" s="260"/>
      <c r="O158" s="260"/>
      <c r="P158" s="1"/>
      <c r="Q158" s="1"/>
      <c r="R158" s="1"/>
      <c r="S158" s="1"/>
      <c r="T158" s="1"/>
      <c r="U158" s="1"/>
    </row>
    <row r="159" spans="2:21">
      <c r="D159" s="2"/>
      <c r="E159" s="1"/>
      <c r="F159" s="1"/>
      <c r="G159" s="1"/>
      <c r="H159" s="1"/>
      <c r="I159" s="260"/>
      <c r="J159" s="260"/>
      <c r="K159" s="242"/>
      <c r="L159" s="260"/>
      <c r="M159" s="260"/>
      <c r="N159" s="260"/>
      <c r="O159" s="260"/>
      <c r="P159" s="1"/>
      <c r="Q159" s="1"/>
      <c r="R159" s="1"/>
      <c r="S159" s="1"/>
      <c r="T159" s="1"/>
      <c r="U159" s="1"/>
    </row>
    <row r="160" spans="2:21">
      <c r="C160" s="29" t="s">
        <v>96</v>
      </c>
      <c r="D160" s="11"/>
      <c r="E160" s="11"/>
      <c r="F160" s="11"/>
      <c r="G160" s="11"/>
      <c r="H160" s="242"/>
      <c r="I160" s="242"/>
      <c r="J160" s="64"/>
      <c r="K160" s="64"/>
      <c r="L160" s="64"/>
      <c r="M160" s="64"/>
      <c r="N160" s="64"/>
      <c r="O160" s="64"/>
      <c r="P160" s="1"/>
      <c r="Q160" s="1"/>
      <c r="R160" s="1"/>
      <c r="S160" s="1"/>
      <c r="T160" s="1"/>
      <c r="U160" s="1"/>
    </row>
    <row r="161" spans="3:21">
      <c r="C161" s="84" t="s">
        <v>76</v>
      </c>
      <c r="D161" s="11"/>
      <c r="E161" s="11"/>
      <c r="F161" s="11"/>
      <c r="G161" s="11"/>
      <c r="H161" s="242"/>
      <c r="I161" s="242"/>
      <c r="J161" s="64"/>
      <c r="K161" s="64"/>
      <c r="L161" s="64"/>
      <c r="M161" s="64"/>
      <c r="N161" s="64"/>
      <c r="O161" s="64"/>
      <c r="P161" s="1"/>
      <c r="Q161" s="1"/>
      <c r="R161" s="1"/>
      <c r="S161" s="1"/>
      <c r="T161" s="1"/>
      <c r="U161" s="1"/>
    </row>
    <row r="162" spans="3:21">
      <c r="C162" s="84" t="s">
        <v>77</v>
      </c>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phoneticPr fontId="0" type="noConversion"/>
  <conditionalFormatting sqref="C17:C73">
    <cfRule type="cellIs" dxfId="45" priority="1" stopIfTrue="1" operator="equal">
      <formula>$I$10</formula>
    </cfRule>
  </conditionalFormatting>
  <conditionalFormatting sqref="C100:C155">
    <cfRule type="cellIs" dxfId="44"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4"/>
  <dimension ref="A1:U163"/>
  <sheetViews>
    <sheetView topLeftCell="A10" zoomScaleNormal="100" zoomScaleSheetLayoutView="85" workbookViewId="0">
      <selection activeCell="D10" sqref="D10"/>
    </sheetView>
  </sheetViews>
  <sheetFormatPr defaultColWidth="8.7109375" defaultRowHeight="12.75" customHeight="1"/>
  <cols>
    <col min="1" max="1" width="4.7109375" customWidth="1"/>
    <col min="2" max="2" width="6.7109375" customWidth="1"/>
    <col min="3" max="3" width="23.28515625" customWidth="1"/>
    <col min="4" max="8" width="17.7109375" customWidth="1"/>
    <col min="9" max="9" width="20.42578125" customWidth="1"/>
    <col min="10" max="10" width="16.42578125" customWidth="1"/>
    <col min="11" max="11" width="17.7109375" customWidth="1"/>
    <col min="12" max="12" width="16.140625" customWidth="1"/>
    <col min="13" max="13" width="17.7109375" customWidth="1"/>
    <col min="14" max="14" width="16.7109375" customWidth="1"/>
    <col min="15" max="15" width="16.85546875" customWidth="1"/>
    <col min="16" max="16" width="24.42578125" customWidth="1"/>
    <col min="17" max="17" width="4.7109375" customWidth="1"/>
    <col min="23" max="23" width="9.140625" customWidth="1"/>
  </cols>
  <sheetData>
    <row r="1" spans="1:21" ht="20.25">
      <c r="A1" s="93" t="s">
        <v>189</v>
      </c>
      <c r="B1" s="1"/>
      <c r="C1" s="1"/>
      <c r="D1" s="2"/>
      <c r="E1" s="1"/>
      <c r="F1" s="7"/>
      <c r="G1" s="1"/>
      <c r="H1" s="260"/>
      <c r="K1" s="12"/>
      <c r="L1" s="12"/>
      <c r="M1" s="12"/>
      <c r="P1" s="98" t="str">
        <f ca="1">"OKT Project "&amp;RIGHT(MID(CELL("filename",$A$1),FIND("]",CELL("filename",$A$1))+1,256),1)&amp;" of "&amp;COUNT('OKT.001:OKT.xyz - blank'!$P$3)-1</f>
        <v>OKT Project 6 of 26</v>
      </c>
      <c r="Q1" s="300"/>
      <c r="R1" s="1"/>
      <c r="S1" s="1"/>
      <c r="T1" s="1"/>
      <c r="U1" s="1">
        <v>2017</v>
      </c>
    </row>
    <row r="2" spans="1:21" ht="18">
      <c r="B2" s="1"/>
      <c r="C2" s="1"/>
      <c r="D2" s="2"/>
      <c r="E2" s="1"/>
      <c r="F2" s="1"/>
      <c r="G2" s="1"/>
      <c r="H2" s="260"/>
      <c r="I2" s="1"/>
      <c r="J2" s="1"/>
      <c r="K2" s="1"/>
      <c r="L2" s="1"/>
      <c r="M2" s="1"/>
      <c r="N2" s="1"/>
      <c r="P2" s="99" t="s">
        <v>131</v>
      </c>
      <c r="R2" s="1"/>
      <c r="S2" s="1"/>
      <c r="T2" s="1"/>
      <c r="U2" s="1"/>
    </row>
    <row r="3" spans="1:21" ht="18.75">
      <c r="B3" s="4" t="s">
        <v>42</v>
      </c>
      <c r="C3" s="9" t="s">
        <v>43</v>
      </c>
      <c r="D3" s="2"/>
      <c r="E3" s="1"/>
      <c r="F3" s="1"/>
      <c r="G3" s="1"/>
      <c r="H3" s="260" t="str">
        <f>"For Calendar Year "&amp;V1-1&amp;" and Projected Year "&amp;V1</f>
        <v xml:space="preserve">For Calendar Year -1 and Projected Year </v>
      </c>
      <c r="I3" s="260"/>
      <c r="J3" s="242"/>
      <c r="K3" s="260"/>
      <c r="L3" s="260"/>
      <c r="M3" s="260"/>
      <c r="N3" s="260"/>
      <c r="O3" s="1"/>
      <c r="P3" s="91">
        <v>1</v>
      </c>
      <c r="R3" s="1"/>
      <c r="S3" s="1"/>
      <c r="T3" s="1"/>
      <c r="U3" s="1"/>
    </row>
    <row r="4" spans="1:21" ht="15.75" thickBot="1">
      <c r="C4" s="250"/>
      <c r="D4" s="2"/>
      <c r="E4" s="1"/>
      <c r="F4" s="1"/>
      <c r="G4" s="1"/>
      <c r="H4" s="260"/>
      <c r="I4" s="260"/>
      <c r="J4" s="242"/>
      <c r="K4" s="260"/>
      <c r="L4" s="260"/>
      <c r="M4" s="260"/>
      <c r="N4" s="260"/>
      <c r="O4" s="1"/>
      <c r="P4" s="1"/>
      <c r="R4" s="1"/>
      <c r="S4" s="1"/>
      <c r="T4" s="1"/>
      <c r="U4" s="1"/>
    </row>
    <row r="5" spans="1:21" ht="15">
      <c r="C5" s="14" t="s">
        <v>44</v>
      </c>
      <c r="D5" s="2"/>
      <c r="E5" s="1"/>
      <c r="F5" s="1"/>
      <c r="G5" s="349"/>
      <c r="H5" s="1" t="s">
        <v>45</v>
      </c>
      <c r="I5" s="1"/>
      <c r="J5" s="1"/>
      <c r="K5" s="16" t="s">
        <v>242</v>
      </c>
      <c r="L5" s="17"/>
      <c r="M5" s="18"/>
      <c r="N5" s="350">
        <f>VLOOKUP(I10,C17:I73,5)</f>
        <v>3267411.8850041311</v>
      </c>
      <c r="P5" s="1"/>
      <c r="R5" s="1"/>
      <c r="S5" s="1"/>
      <c r="T5" s="1"/>
      <c r="U5" s="1"/>
    </row>
    <row r="6" spans="1:21" ht="15.75">
      <c r="C6" s="6"/>
      <c r="D6" s="2"/>
      <c r="E6" s="1"/>
      <c r="F6" s="1"/>
      <c r="G6" s="1"/>
      <c r="H6" s="351"/>
      <c r="I6" s="351"/>
      <c r="J6" s="352"/>
      <c r="K6" s="22" t="s">
        <v>243</v>
      </c>
      <c r="L6" s="353"/>
      <c r="M6" s="1"/>
      <c r="N6" s="354">
        <f>VLOOKUP(I10,C17:I73,6)</f>
        <v>3267411.8850041311</v>
      </c>
      <c r="O6" s="1"/>
      <c r="P6" s="1"/>
      <c r="R6" s="1"/>
      <c r="S6" s="1"/>
      <c r="T6" s="1"/>
      <c r="U6" s="1"/>
    </row>
    <row r="7" spans="1:21" ht="13.5" thickBot="1">
      <c r="C7" s="25" t="s">
        <v>46</v>
      </c>
      <c r="D7" s="96" t="s">
        <v>206</v>
      </c>
      <c r="E7" s="1"/>
      <c r="F7" s="1"/>
      <c r="G7" s="1"/>
      <c r="H7" s="260"/>
      <c r="I7" s="260"/>
      <c r="J7" s="242"/>
      <c r="K7" s="355" t="s">
        <v>47</v>
      </c>
      <c r="L7" s="356"/>
      <c r="M7" s="356"/>
      <c r="N7" s="357">
        <f>+N6-N5</f>
        <v>0</v>
      </c>
      <c r="O7" s="1"/>
      <c r="P7" s="1"/>
      <c r="R7" s="1"/>
      <c r="S7" s="1"/>
      <c r="T7" s="1"/>
      <c r="U7" s="1"/>
    </row>
    <row r="8" spans="1:21" ht="13.5" thickBot="1">
      <c r="C8" s="29"/>
      <c r="D8" s="83" t="str">
        <f>IF(D10&lt;100000,"DOES NOT MEET SPP $100,000 MINIMUM INVESTMENT FOR REGIONAL BPU SHARING.","")</f>
        <v/>
      </c>
      <c r="E8" s="10"/>
      <c r="F8" s="10"/>
      <c r="G8" s="10"/>
      <c r="H8" s="10"/>
      <c r="I8" s="10"/>
      <c r="J8" s="10"/>
      <c r="K8" s="10"/>
      <c r="L8" s="10"/>
      <c r="M8" s="10"/>
      <c r="N8" s="10"/>
      <c r="O8" s="10"/>
      <c r="P8" s="1"/>
      <c r="R8" s="1"/>
      <c r="S8" s="1"/>
      <c r="T8" s="1"/>
      <c r="U8" s="1"/>
    </row>
    <row r="9" spans="1:21" ht="13.5" thickBot="1">
      <c r="C9" s="30" t="s">
        <v>48</v>
      </c>
      <c r="D9" s="89" t="s">
        <v>205</v>
      </c>
      <c r="E9" s="31" t="s">
        <v>310</v>
      </c>
      <c r="F9" s="526">
        <v>767</v>
      </c>
      <c r="G9" s="31"/>
      <c r="H9" s="31"/>
      <c r="I9" s="32"/>
      <c r="J9" s="33"/>
      <c r="P9" s="1"/>
      <c r="R9" s="1"/>
      <c r="S9" s="1"/>
      <c r="T9" s="1"/>
      <c r="U9" s="1"/>
    </row>
    <row r="10" spans="1:21">
      <c r="C10" s="34" t="s">
        <v>49</v>
      </c>
      <c r="D10" s="358">
        <v>28914236</v>
      </c>
      <c r="E10" s="1" t="s">
        <v>50</v>
      </c>
      <c r="G10" s="2"/>
      <c r="H10" s="2"/>
      <c r="I10" s="36">
        <f>+'OKT.WS.F.BPU.ATRR.Projected'!R100</f>
        <v>2025</v>
      </c>
      <c r="J10" s="33"/>
      <c r="K10" s="242" t="s">
        <v>51</v>
      </c>
      <c r="O10" s="1"/>
      <c r="P10" s="1"/>
      <c r="R10" s="1"/>
      <c r="S10" s="1"/>
      <c r="T10" s="1"/>
      <c r="U10" s="1"/>
    </row>
    <row r="11" spans="1:21">
      <c r="C11" s="34" t="s">
        <v>52</v>
      </c>
      <c r="D11" s="37">
        <v>2013</v>
      </c>
      <c r="E11" s="34" t="s">
        <v>53</v>
      </c>
      <c r="F11" s="2"/>
      <c r="I11" s="38">
        <v>0</v>
      </c>
      <c r="J11" s="39"/>
      <c r="K11" t="str">
        <f>"          INPUT PROJECTED ARR (WITH &amp; WITHOUT INCENTIVES) FROM EACH PRIOR YEAR"</f>
        <v xml:space="preserve">          INPUT PROJECTED ARR (WITH &amp; WITHOUT INCENTIVES) FROM EACH PRIOR YEAR</v>
      </c>
      <c r="O11" s="1"/>
      <c r="P11" s="1"/>
      <c r="R11" s="1"/>
      <c r="S11" s="1"/>
      <c r="T11" s="1"/>
      <c r="U11" s="1"/>
    </row>
    <row r="12" spans="1:21">
      <c r="C12" s="34" t="s">
        <v>54</v>
      </c>
      <c r="D12" s="358">
        <v>8</v>
      </c>
      <c r="E12" s="34" t="s">
        <v>55</v>
      </c>
      <c r="F12" s="2"/>
      <c r="I12" s="40">
        <f>'OKT.WS.F.BPU.ATRR.Projected'!$F$78</f>
        <v>0.11444992740144029</v>
      </c>
      <c r="J12" s="11"/>
      <c r="K12" t="s">
        <v>56</v>
      </c>
      <c r="O12" s="1"/>
      <c r="P12" s="1"/>
      <c r="R12" s="1"/>
      <c r="S12" s="1"/>
      <c r="T12" s="1"/>
      <c r="U12" s="1"/>
    </row>
    <row r="13" spans="1:21">
      <c r="C13" s="34" t="s">
        <v>57</v>
      </c>
      <c r="D13" s="38">
        <f>'OKT.WS.F.BPU.ATRR.Projected'!F89</f>
        <v>30</v>
      </c>
      <c r="E13" s="34" t="s">
        <v>58</v>
      </c>
      <c r="F13" s="2"/>
      <c r="I13" s="40">
        <f>IF(G5="",I12,'OKT.WS.F.BPU.ATRR.Projected'!$F$77)</f>
        <v>0.11444992740144029</v>
      </c>
      <c r="J13" s="7"/>
      <c r="K13" s="242" t="s">
        <v>59</v>
      </c>
      <c r="L13" s="7"/>
      <c r="M13" s="7"/>
      <c r="N13" s="7"/>
      <c r="O13" s="1"/>
      <c r="P13" s="1"/>
      <c r="R13" s="1"/>
      <c r="S13" s="1"/>
      <c r="T13" s="1"/>
      <c r="U13" s="1"/>
    </row>
    <row r="14" spans="1:21" ht="13.5" thickBot="1">
      <c r="C14" s="34" t="s">
        <v>60</v>
      </c>
      <c r="D14" s="37" t="s">
        <v>61</v>
      </c>
      <c r="E14" s="1" t="s">
        <v>62</v>
      </c>
      <c r="F14" s="2"/>
      <c r="I14" s="359">
        <f>IF(D10=0,0,D10/D13)</f>
        <v>963807.8666666667</v>
      </c>
      <c r="J14" s="242"/>
      <c r="K14" s="242"/>
      <c r="L14" s="242"/>
      <c r="M14" s="242"/>
      <c r="N14" s="242"/>
      <c r="O14" s="1"/>
      <c r="P14" s="1"/>
      <c r="R14" s="1"/>
      <c r="S14" s="1"/>
      <c r="T14" s="1"/>
      <c r="U14" s="1"/>
    </row>
    <row r="15" spans="1:21" ht="38.25">
      <c r="C15" s="42" t="s">
        <v>49</v>
      </c>
      <c r="D15" s="360" t="s">
        <v>193</v>
      </c>
      <c r="E15" s="361" t="s">
        <v>63</v>
      </c>
      <c r="F15" s="361" t="s">
        <v>64</v>
      </c>
      <c r="G15" s="362" t="s">
        <v>251</v>
      </c>
      <c r="H15" s="363" t="s">
        <v>252</v>
      </c>
      <c r="I15" s="42" t="s">
        <v>65</v>
      </c>
      <c r="J15" s="44"/>
      <c r="K15" s="360" t="s">
        <v>176</v>
      </c>
      <c r="L15" s="364" t="s">
        <v>66</v>
      </c>
      <c r="M15" s="360" t="s">
        <v>176</v>
      </c>
      <c r="N15" s="364" t="s">
        <v>66</v>
      </c>
      <c r="O15" s="365" t="s">
        <v>67</v>
      </c>
      <c r="P15" s="1"/>
      <c r="R15" s="1"/>
      <c r="S15" s="1"/>
      <c r="T15" s="1"/>
      <c r="U15" s="1"/>
    </row>
    <row r="16" spans="1:21" ht="13.5" thickBot="1">
      <c r="C16" s="46" t="s">
        <v>68</v>
      </c>
      <c r="D16" s="122" t="s">
        <v>69</v>
      </c>
      <c r="E16" s="46" t="s">
        <v>70</v>
      </c>
      <c r="F16" s="46" t="s">
        <v>69</v>
      </c>
      <c r="G16" s="410" t="s">
        <v>71</v>
      </c>
      <c r="H16" s="367" t="s">
        <v>72</v>
      </c>
      <c r="I16" s="46" t="s">
        <v>93</v>
      </c>
      <c r="J16" s="44" t="s">
        <v>73</v>
      </c>
      <c r="K16" s="368" t="s">
        <v>74</v>
      </c>
      <c r="L16" s="369" t="s">
        <v>74</v>
      </c>
      <c r="M16" s="368" t="s">
        <v>94</v>
      </c>
      <c r="N16" s="370" t="s">
        <v>94</v>
      </c>
      <c r="O16" s="368" t="s">
        <v>94</v>
      </c>
      <c r="P16" s="1"/>
      <c r="R16" s="1"/>
      <c r="S16" s="1"/>
      <c r="T16" s="1"/>
      <c r="U16" s="1"/>
    </row>
    <row r="17" spans="2:21">
      <c r="B17" t="str">
        <f t="shared" ref="B17:B49" si="0">IF(D17=F16,"","IU")</f>
        <v>IU</v>
      </c>
      <c r="C17" s="49">
        <f>IF(D11= "","-",D11)</f>
        <v>2013</v>
      </c>
      <c r="D17" s="371">
        <v>6627800</v>
      </c>
      <c r="E17" s="372">
        <v>57327.852379007891</v>
      </c>
      <c r="F17" s="371">
        <v>6570472.1476209918</v>
      </c>
      <c r="G17" s="373">
        <v>692344.48890277033</v>
      </c>
      <c r="H17" s="374">
        <v>692344.48890277033</v>
      </c>
      <c r="I17" s="51">
        <v>0</v>
      </c>
      <c r="J17" s="51"/>
      <c r="K17" s="114">
        <f t="shared" ref="K17:K22" si="1">G17</f>
        <v>692344.48890277033</v>
      </c>
      <c r="L17" s="429">
        <f t="shared" ref="L17:L49" si="2">IF(K17&lt;&gt;0,+G17-K17,0)</f>
        <v>0</v>
      </c>
      <c r="M17" s="430">
        <f t="shared" ref="M17:M22" si="3">H17</f>
        <v>692344.48890277033</v>
      </c>
      <c r="N17" s="413">
        <f t="shared" ref="N17:N49" si="4">IF(M17&lt;&gt;0,+H17-M17,0)</f>
        <v>0</v>
      </c>
      <c r="O17" s="53">
        <f t="shared" ref="O17:O49" si="5">+N17-L17</f>
        <v>0</v>
      </c>
      <c r="P17" s="1"/>
      <c r="R17" s="1"/>
      <c r="S17" s="1"/>
      <c r="T17" s="1"/>
      <c r="U17" s="1"/>
    </row>
    <row r="18" spans="2:21">
      <c r="B18" t="str">
        <f t="shared" si="0"/>
        <v>IU</v>
      </c>
      <c r="C18" s="49">
        <f>IF(D11="","-",+C17+1)</f>
        <v>2014</v>
      </c>
      <c r="D18" s="375">
        <v>28510458.147620991</v>
      </c>
      <c r="E18" s="373">
        <v>494200.13235254184</v>
      </c>
      <c r="F18" s="375">
        <v>28016258.015268449</v>
      </c>
      <c r="G18" s="373">
        <v>3554730.1038106573</v>
      </c>
      <c r="H18" s="374">
        <v>3554730.1038106573</v>
      </c>
      <c r="I18" s="51">
        <v>0</v>
      </c>
      <c r="J18" s="51"/>
      <c r="K18" s="376">
        <f t="shared" si="1"/>
        <v>3554730.1038106573</v>
      </c>
      <c r="L18" s="415">
        <f t="shared" ref="L18:L23" si="6">IF(K18&lt;&gt;0,+G18-K18,0)</f>
        <v>0</v>
      </c>
      <c r="M18" s="431">
        <f t="shared" si="3"/>
        <v>3554730.1038106573</v>
      </c>
      <c r="N18" s="51">
        <f>IF(M18&lt;&gt;0,+H18-M18,0)</f>
        <v>0</v>
      </c>
      <c r="O18" s="53">
        <f>+N18-L18</f>
        <v>0</v>
      </c>
      <c r="P18" s="1"/>
      <c r="R18" s="1"/>
      <c r="S18" s="1"/>
      <c r="T18" s="1"/>
      <c r="U18" s="1"/>
    </row>
    <row r="19" spans="2:21">
      <c r="B19" t="str">
        <f t="shared" si="0"/>
        <v>IU</v>
      </c>
      <c r="C19" s="49">
        <f>IF(D11="","-",+C18+1)</f>
        <v>2015</v>
      </c>
      <c r="D19" s="375">
        <v>28130872.015268449</v>
      </c>
      <c r="E19" s="373">
        <v>496182.86401993298</v>
      </c>
      <c r="F19" s="375">
        <v>27634689.151248515</v>
      </c>
      <c r="G19" s="373">
        <v>3536753.8544176081</v>
      </c>
      <c r="H19" s="374">
        <v>3536753.8544176081</v>
      </c>
      <c r="I19" s="51">
        <v>0</v>
      </c>
      <c r="J19" s="51"/>
      <c r="K19" s="376">
        <f t="shared" si="1"/>
        <v>3536753.8544176081</v>
      </c>
      <c r="L19" s="53">
        <f t="shared" si="6"/>
        <v>0</v>
      </c>
      <c r="M19" s="376">
        <f t="shared" si="3"/>
        <v>3536753.8544176081</v>
      </c>
      <c r="N19" s="53">
        <f>IF(M19&lt;&gt;0,+H19-M19,0)</f>
        <v>0</v>
      </c>
      <c r="O19" s="53">
        <f>+N19-L19</f>
        <v>0</v>
      </c>
      <c r="P19" s="1"/>
      <c r="R19" s="1"/>
      <c r="S19" s="1"/>
      <c r="T19" s="1"/>
      <c r="U19" s="1"/>
    </row>
    <row r="20" spans="2:21">
      <c r="B20" t="str">
        <f t="shared" si="0"/>
        <v>IU</v>
      </c>
      <c r="C20" s="49">
        <f>IF(D11="","-",+C19+1)</f>
        <v>2016</v>
      </c>
      <c r="D20" s="375">
        <v>27866524.891248517</v>
      </c>
      <c r="E20" s="373">
        <v>600822.03590460983</v>
      </c>
      <c r="F20" s="375">
        <v>27265702.855343908</v>
      </c>
      <c r="G20" s="373">
        <v>3542256.1502628839</v>
      </c>
      <c r="H20" s="374">
        <v>3542256.1502628839</v>
      </c>
      <c r="I20" s="51">
        <f t="shared" ref="I20:I49" si="7">H20-G20</f>
        <v>0</v>
      </c>
      <c r="J20" s="51"/>
      <c r="K20" s="376">
        <f t="shared" si="1"/>
        <v>3542256.1502628839</v>
      </c>
      <c r="L20" s="53">
        <f t="shared" si="6"/>
        <v>0</v>
      </c>
      <c r="M20" s="376">
        <f t="shared" si="3"/>
        <v>3542256.1502628839</v>
      </c>
      <c r="N20" s="53">
        <f t="shared" si="4"/>
        <v>0</v>
      </c>
      <c r="O20" s="53">
        <f t="shared" si="5"/>
        <v>0</v>
      </c>
      <c r="P20" s="1"/>
      <c r="R20" s="1"/>
      <c r="S20" s="1"/>
      <c r="T20" s="1"/>
      <c r="U20" s="1"/>
    </row>
    <row r="21" spans="2:21">
      <c r="B21" t="str">
        <f t="shared" si="0"/>
        <v/>
      </c>
      <c r="C21" s="49">
        <f>IF(D12="","-",+C20+1)</f>
        <v>2017</v>
      </c>
      <c r="D21" s="375">
        <v>27265702.855343908</v>
      </c>
      <c r="E21" s="373">
        <v>568511.11858112796</v>
      </c>
      <c r="F21" s="375">
        <v>26697191.736762781</v>
      </c>
      <c r="G21" s="373">
        <v>3534850.6884225709</v>
      </c>
      <c r="H21" s="374">
        <v>3534850.6884225709</v>
      </c>
      <c r="I21" s="51">
        <f t="shared" si="7"/>
        <v>0</v>
      </c>
      <c r="J21" s="51"/>
      <c r="K21" s="376">
        <f t="shared" si="1"/>
        <v>3534850.6884225709</v>
      </c>
      <c r="L21" s="53">
        <f t="shared" si="6"/>
        <v>0</v>
      </c>
      <c r="M21" s="376">
        <f t="shared" si="3"/>
        <v>3534850.6884225709</v>
      </c>
      <c r="N21" s="53">
        <f>IF(M21&lt;&gt;0,+H21-M21,0)</f>
        <v>0</v>
      </c>
      <c r="O21" s="53">
        <f>+N21-L21</f>
        <v>0</v>
      </c>
      <c r="P21" s="1"/>
      <c r="R21" s="1"/>
      <c r="S21" s="1"/>
      <c r="T21" s="1"/>
      <c r="U21" s="1"/>
    </row>
    <row r="22" spans="2:21">
      <c r="B22" t="str">
        <f t="shared" si="0"/>
        <v/>
      </c>
      <c r="C22" s="49">
        <f>IF(D11="","-",+C21+1)</f>
        <v>2018</v>
      </c>
      <c r="D22" s="375">
        <v>26697191.736762781</v>
      </c>
      <c r="E22" s="373">
        <v>709109.54353113449</v>
      </c>
      <c r="F22" s="375">
        <v>25988082.193231646</v>
      </c>
      <c r="G22" s="373">
        <v>3386144.4526302526</v>
      </c>
      <c r="H22" s="374">
        <v>3386144.4526302526</v>
      </c>
      <c r="I22" s="51">
        <v>0</v>
      </c>
      <c r="J22" s="51"/>
      <c r="K22" s="376">
        <f t="shared" si="1"/>
        <v>3386144.4526302526</v>
      </c>
      <c r="L22" s="53">
        <f t="shared" si="6"/>
        <v>0</v>
      </c>
      <c r="M22" s="376">
        <f t="shared" si="3"/>
        <v>3386144.4526302526</v>
      </c>
      <c r="N22" s="53">
        <f>IF(M22&lt;&gt;0,+H22-M22,0)</f>
        <v>0</v>
      </c>
      <c r="O22" s="53">
        <f>+N22-L22</f>
        <v>0</v>
      </c>
      <c r="P22" s="1"/>
      <c r="R22" s="1"/>
      <c r="S22" s="1"/>
      <c r="T22" s="1"/>
      <c r="U22" s="1"/>
    </row>
    <row r="23" spans="2:21">
      <c r="B23" t="str">
        <f t="shared" si="0"/>
        <v/>
      </c>
      <c r="C23" s="49">
        <f>IF(D11="","-",+C22+1)</f>
        <v>2019</v>
      </c>
      <c r="D23" s="375">
        <v>25988082.193231646</v>
      </c>
      <c r="E23" s="373">
        <v>857562.89168410667</v>
      </c>
      <c r="F23" s="375">
        <v>25130519.301547538</v>
      </c>
      <c r="G23" s="373">
        <v>3514093.467191291</v>
      </c>
      <c r="H23" s="374">
        <v>3514093.467191291</v>
      </c>
      <c r="I23" s="51">
        <f t="shared" si="7"/>
        <v>0</v>
      </c>
      <c r="J23" s="51"/>
      <c r="K23" s="376">
        <f t="shared" ref="K23" si="8">G23</f>
        <v>3514093.467191291</v>
      </c>
      <c r="L23" s="53">
        <f t="shared" si="6"/>
        <v>0</v>
      </c>
      <c r="M23" s="376">
        <f t="shared" ref="M23" si="9">H23</f>
        <v>3514093.467191291</v>
      </c>
      <c r="N23" s="53">
        <f>IF(M23&lt;&gt;0,+H23-M23,0)</f>
        <v>0</v>
      </c>
      <c r="O23" s="53">
        <f>+N23-L23</f>
        <v>0</v>
      </c>
      <c r="P23" s="1"/>
      <c r="R23" s="1"/>
      <c r="S23" s="1"/>
      <c r="T23" s="1"/>
      <c r="U23" s="1"/>
    </row>
    <row r="24" spans="2:21">
      <c r="B24" t="str">
        <f t="shared" si="0"/>
        <v>IU</v>
      </c>
      <c r="C24" s="49">
        <f>IF(D11="","-",+C23+1)</f>
        <v>2020</v>
      </c>
      <c r="D24" s="375">
        <v>25278972.649700511</v>
      </c>
      <c r="E24" s="373">
        <v>846660.3033934671</v>
      </c>
      <c r="F24" s="375">
        <v>24432312.346307043</v>
      </c>
      <c r="G24" s="373">
        <v>3454824.1726137344</v>
      </c>
      <c r="H24" s="374">
        <v>3454824.1726137344</v>
      </c>
      <c r="I24" s="51">
        <f t="shared" si="7"/>
        <v>0</v>
      </c>
      <c r="J24" s="51"/>
      <c r="K24" s="376">
        <f t="shared" ref="K24" si="10">G24</f>
        <v>3454824.1726137344</v>
      </c>
      <c r="L24" s="53">
        <f t="shared" ref="L24" si="11">IF(K24&lt;&gt;0,+G24-K24,0)</f>
        <v>0</v>
      </c>
      <c r="M24" s="376">
        <f t="shared" ref="M24" si="12">H24</f>
        <v>3454824.1726137344</v>
      </c>
      <c r="N24" s="53">
        <f t="shared" si="4"/>
        <v>0</v>
      </c>
      <c r="O24" s="53">
        <f t="shared" si="5"/>
        <v>0</v>
      </c>
      <c r="P24" s="1"/>
      <c r="R24" s="1"/>
      <c r="S24" s="1"/>
      <c r="T24" s="1"/>
      <c r="U24" s="1"/>
    </row>
    <row r="25" spans="2:21">
      <c r="B25" t="str">
        <f t="shared" si="0"/>
        <v>IU</v>
      </c>
      <c r="C25" s="49">
        <f>IF(D11="","-",+C24+1)</f>
        <v>2021</v>
      </c>
      <c r="D25" s="375">
        <v>24283858.99815407</v>
      </c>
      <c r="E25" s="373">
        <v>932717.2819354838</v>
      </c>
      <c r="F25" s="375">
        <v>23351141.716218587</v>
      </c>
      <c r="G25" s="373">
        <v>3509415.1582725761</v>
      </c>
      <c r="H25" s="374">
        <v>3509415.1582725761</v>
      </c>
      <c r="I25" s="51">
        <f t="shared" si="7"/>
        <v>0</v>
      </c>
      <c r="J25" s="51"/>
      <c r="K25" s="376">
        <f t="shared" ref="K25" si="13">G25</f>
        <v>3509415.1582725761</v>
      </c>
      <c r="L25" s="53">
        <f t="shared" ref="L25" si="14">IF(K25&lt;&gt;0,+G25-K25,0)</f>
        <v>0</v>
      </c>
      <c r="M25" s="376">
        <f t="shared" ref="M25" si="15">H25</f>
        <v>3509415.1582725761</v>
      </c>
      <c r="N25" s="53">
        <f t="shared" si="4"/>
        <v>0</v>
      </c>
      <c r="O25" s="53">
        <f t="shared" si="5"/>
        <v>0</v>
      </c>
      <c r="P25" s="1"/>
      <c r="R25" s="1"/>
      <c r="S25" s="1"/>
      <c r="T25" s="1"/>
      <c r="U25" s="1"/>
    </row>
    <row r="26" spans="2:21">
      <c r="B26" t="str">
        <f t="shared" si="0"/>
        <v/>
      </c>
      <c r="C26" s="49">
        <f>IF(D11="","-",+C25+1)</f>
        <v>2022</v>
      </c>
      <c r="D26" s="375">
        <v>23351141.716218587</v>
      </c>
      <c r="E26" s="373">
        <v>876188.96181818179</v>
      </c>
      <c r="F26" s="375">
        <v>22474952.754400406</v>
      </c>
      <c r="G26" s="373">
        <v>3505662.168801737</v>
      </c>
      <c r="H26" s="374">
        <v>3505662.168801737</v>
      </c>
      <c r="I26" s="51">
        <f t="shared" si="7"/>
        <v>0</v>
      </c>
      <c r="J26" s="51"/>
      <c r="K26" s="376">
        <f t="shared" ref="K26" si="16">G26</f>
        <v>3505662.168801737</v>
      </c>
      <c r="L26" s="53">
        <f t="shared" ref="L26" si="17">IF(K26&lt;&gt;0,+G26-K26,0)</f>
        <v>0</v>
      </c>
      <c r="M26" s="376">
        <f t="shared" ref="M26" si="18">H26</f>
        <v>3505662.168801737</v>
      </c>
      <c r="N26" s="53">
        <f t="shared" si="4"/>
        <v>0</v>
      </c>
      <c r="O26" s="53">
        <f t="shared" si="5"/>
        <v>0</v>
      </c>
      <c r="P26" s="1"/>
      <c r="R26" s="1"/>
      <c r="S26" s="1"/>
      <c r="T26" s="1"/>
      <c r="U26" s="1"/>
    </row>
    <row r="27" spans="2:21">
      <c r="B27" t="str">
        <f t="shared" si="0"/>
        <v>IU</v>
      </c>
      <c r="C27" s="49">
        <f>IF(D11="","-",+C26+1)</f>
        <v>2023</v>
      </c>
      <c r="D27" s="375">
        <v>22474953.014400404</v>
      </c>
      <c r="E27" s="373">
        <v>932717.29032258061</v>
      </c>
      <c r="F27" s="375">
        <v>21542235.724077825</v>
      </c>
      <c r="G27" s="373">
        <v>3420411.5472094538</v>
      </c>
      <c r="H27" s="374">
        <v>3420411.5472094538</v>
      </c>
      <c r="I27" s="51">
        <f t="shared" si="7"/>
        <v>0</v>
      </c>
      <c r="J27" s="51"/>
      <c r="K27" s="376">
        <f t="shared" ref="K27" si="19">G27</f>
        <v>3420411.5472094538</v>
      </c>
      <c r="L27" s="53">
        <f t="shared" ref="L27" si="20">IF(K27&lt;&gt;0,+G27-K27,0)</f>
        <v>0</v>
      </c>
      <c r="M27" s="376">
        <f t="shared" ref="M27" si="21">H27</f>
        <v>3420411.5472094538</v>
      </c>
      <c r="N27" s="53">
        <f t="shared" si="4"/>
        <v>0</v>
      </c>
      <c r="O27" s="53">
        <f t="shared" si="5"/>
        <v>0</v>
      </c>
      <c r="P27" s="1"/>
      <c r="R27" s="1"/>
      <c r="S27" s="1"/>
      <c r="T27" s="1"/>
      <c r="U27" s="1"/>
    </row>
    <row r="28" spans="2:21">
      <c r="B28" t="str">
        <f t="shared" si="0"/>
        <v/>
      </c>
      <c r="C28" s="49">
        <f>IF(D11="","-",+C27+1)</f>
        <v>2024</v>
      </c>
      <c r="D28" s="375">
        <v>21542235.724077825</v>
      </c>
      <c r="E28" s="373">
        <v>932717.29032258061</v>
      </c>
      <c r="F28" s="375">
        <v>20609518.433755245</v>
      </c>
      <c r="G28" s="373">
        <v>3333926.386045767</v>
      </c>
      <c r="H28" s="374">
        <v>3333926.386045767</v>
      </c>
      <c r="I28" s="51">
        <f t="shared" si="7"/>
        <v>0</v>
      </c>
      <c r="J28" s="51"/>
      <c r="K28" s="376">
        <f t="shared" ref="K28" si="22">G28</f>
        <v>3333926.386045767</v>
      </c>
      <c r="L28" s="53">
        <f t="shared" ref="L28" si="23">IF(K28&lt;&gt;0,+G28-K28,0)</f>
        <v>0</v>
      </c>
      <c r="M28" s="376">
        <f t="shared" ref="M28" si="24">H28</f>
        <v>3333926.386045767</v>
      </c>
      <c r="N28" s="53">
        <f t="shared" ref="N28" si="25">IF(M28&lt;&gt;0,+H28-M28,0)</f>
        <v>0</v>
      </c>
      <c r="O28" s="53">
        <f t="shared" ref="O28" si="26">+N28-L28</f>
        <v>0</v>
      </c>
      <c r="P28" s="1"/>
      <c r="R28" s="1"/>
      <c r="S28" s="1"/>
      <c r="T28" s="1"/>
      <c r="U28" s="1"/>
    </row>
    <row r="29" spans="2:21">
      <c r="B29" t="str">
        <f t="shared" si="0"/>
        <v/>
      </c>
      <c r="C29" s="49">
        <f>IF(D11="","-",+C28+1)</f>
        <v>2025</v>
      </c>
      <c r="D29" s="375">
        <v>20609518.433755245</v>
      </c>
      <c r="E29" s="373">
        <v>963807.8666666667</v>
      </c>
      <c r="F29" s="375">
        <v>19645710.567088578</v>
      </c>
      <c r="G29" s="373">
        <v>3267411.8850041311</v>
      </c>
      <c r="H29" s="374">
        <v>3267411.8850041311</v>
      </c>
      <c r="I29" s="51">
        <f t="shared" si="7"/>
        <v>0</v>
      </c>
      <c r="J29" s="51"/>
      <c r="K29" s="376">
        <f t="shared" ref="K29" si="27">G29</f>
        <v>3267411.8850041311</v>
      </c>
      <c r="L29" s="53">
        <f t="shared" ref="L29" si="28">IF(K29&lt;&gt;0,+G29-K29,0)</f>
        <v>0</v>
      </c>
      <c r="M29" s="376">
        <f t="shared" ref="M29" si="29">H29</f>
        <v>3267411.8850041311</v>
      </c>
      <c r="N29" s="53">
        <f t="shared" ref="N29" si="30">IF(M29&lt;&gt;0,+H29-M29,0)</f>
        <v>0</v>
      </c>
      <c r="O29" s="53">
        <f t="shared" ref="O29" si="31">+N29-L29</f>
        <v>0</v>
      </c>
      <c r="P29" s="1"/>
      <c r="R29" s="1"/>
      <c r="S29" s="1"/>
      <c r="T29" s="1"/>
      <c r="U29" s="1"/>
    </row>
    <row r="30" spans="2:21">
      <c r="B30" t="str">
        <f t="shared" si="0"/>
        <v/>
      </c>
      <c r="C30" s="49">
        <f>IF(D11="","-",+C29+1)</f>
        <v>2026</v>
      </c>
      <c r="D30" s="54">
        <f>IF(F29+SUM(E$17:E29)=D$10,F29,D$10-SUM(E$17:E29))</f>
        <v>19645710.567088578</v>
      </c>
      <c r="E30" s="377">
        <f>IF(+I14&lt;F29,I14,D30)</f>
        <v>963807.8666666667</v>
      </c>
      <c r="F30" s="54">
        <f t="shared" ref="F30:F49" si="32">+D30-E30</f>
        <v>18681902.700421911</v>
      </c>
      <c r="G30" s="378">
        <f t="shared" ref="G30:G73" si="33">(D30+F30)/2*I$12+E30</f>
        <v>3157104.1446351944</v>
      </c>
      <c r="H30" s="359">
        <f t="shared" ref="H30:H73" si="34">+(D30+F30)/2*I$13+E30</f>
        <v>3157104.1446351944</v>
      </c>
      <c r="I30" s="51">
        <f t="shared" si="7"/>
        <v>0</v>
      </c>
      <c r="J30" s="51"/>
      <c r="K30" s="112"/>
      <c r="L30" s="53">
        <f t="shared" si="2"/>
        <v>0</v>
      </c>
      <c r="M30" s="112"/>
      <c r="N30" s="53">
        <f t="shared" si="4"/>
        <v>0</v>
      </c>
      <c r="O30" s="53">
        <f t="shared" si="5"/>
        <v>0</v>
      </c>
      <c r="P30" s="1"/>
      <c r="R30" s="1"/>
      <c r="S30" s="1"/>
      <c r="T30" s="1"/>
      <c r="U30" s="1"/>
    </row>
    <row r="31" spans="2:21">
      <c r="B31" t="str">
        <f t="shared" si="0"/>
        <v/>
      </c>
      <c r="C31" s="49">
        <f>IF(D11="","-",+C30+1)</f>
        <v>2027</v>
      </c>
      <c r="D31" s="54">
        <f>IF(F30+SUM(E$17:E30)=D$10,F30,D$10-SUM(E$17:E30))</f>
        <v>18681902.700421911</v>
      </c>
      <c r="E31" s="377">
        <f>IF(+I14&lt;F30,I14,D31)</f>
        <v>963807.8666666667</v>
      </c>
      <c r="F31" s="54">
        <f t="shared" si="32"/>
        <v>17718094.833755244</v>
      </c>
      <c r="G31" s="378">
        <f t="shared" si="33"/>
        <v>3046796.4042662568</v>
      </c>
      <c r="H31" s="359">
        <f t="shared" si="34"/>
        <v>3046796.4042662568</v>
      </c>
      <c r="I31" s="51">
        <f t="shared" si="7"/>
        <v>0</v>
      </c>
      <c r="J31" s="51"/>
      <c r="K31" s="112"/>
      <c r="L31" s="53">
        <f t="shared" si="2"/>
        <v>0</v>
      </c>
      <c r="M31" s="112"/>
      <c r="N31" s="53">
        <f t="shared" si="4"/>
        <v>0</v>
      </c>
      <c r="O31" s="53">
        <f t="shared" si="5"/>
        <v>0</v>
      </c>
      <c r="P31" s="1"/>
      <c r="R31" s="1"/>
      <c r="S31" s="1"/>
      <c r="T31" s="1"/>
      <c r="U31" s="1"/>
    </row>
    <row r="32" spans="2:21">
      <c r="B32" t="str">
        <f t="shared" si="0"/>
        <v/>
      </c>
      <c r="C32" s="49">
        <f>IF(D12="","-",+C31+1)</f>
        <v>2028</v>
      </c>
      <c r="D32" s="54">
        <f>IF(F31+SUM(E$17:E31)=D$10,F31,D$10-SUM(E$17:E31))</f>
        <v>17718094.833755244</v>
      </c>
      <c r="E32" s="377">
        <f>IF(+I14&lt;F31,I14,D32)</f>
        <v>963807.8666666667</v>
      </c>
      <c r="F32" s="54">
        <f>+D32-E32</f>
        <v>16754286.967088576</v>
      </c>
      <c r="G32" s="378">
        <f t="shared" si="33"/>
        <v>2936488.6638973202</v>
      </c>
      <c r="H32" s="359">
        <f t="shared" si="34"/>
        <v>2936488.6638973202</v>
      </c>
      <c r="I32" s="51">
        <f>H32-G32</f>
        <v>0</v>
      </c>
      <c r="J32" s="51"/>
      <c r="K32" s="112"/>
      <c r="L32" s="53">
        <f>IF(K32&lt;&gt;0,+G32-K32,0)</f>
        <v>0</v>
      </c>
      <c r="M32" s="112"/>
      <c r="N32" s="53">
        <f>IF(M32&lt;&gt;0,+H32-M32,0)</f>
        <v>0</v>
      </c>
      <c r="O32" s="53">
        <f>+N32-L32</f>
        <v>0</v>
      </c>
      <c r="P32" s="1"/>
      <c r="R32" s="1"/>
      <c r="S32" s="1"/>
      <c r="T32" s="1"/>
      <c r="U32" s="1"/>
    </row>
    <row r="33" spans="2:21">
      <c r="B33" t="str">
        <f t="shared" si="0"/>
        <v/>
      </c>
      <c r="C33" s="49">
        <f>IF(D13="","-",+C32+1)</f>
        <v>2029</v>
      </c>
      <c r="D33" s="54">
        <f>IF(F32+SUM(E$17:E32)=D$10,F32,D$10-SUM(E$17:E32))</f>
        <v>16754286.967088576</v>
      </c>
      <c r="E33" s="377">
        <f>IF(+I14&lt;F31,I14,D33)</f>
        <v>963807.8666666667</v>
      </c>
      <c r="F33" s="54">
        <f t="shared" si="32"/>
        <v>15790479.100421909</v>
      </c>
      <c r="G33" s="378">
        <f t="shared" si="33"/>
        <v>2826180.923528383</v>
      </c>
      <c r="H33" s="359">
        <f t="shared" si="34"/>
        <v>2826180.923528383</v>
      </c>
      <c r="I33" s="51">
        <f t="shared" si="7"/>
        <v>0</v>
      </c>
      <c r="J33" s="51"/>
      <c r="K33" s="112"/>
      <c r="L33" s="53">
        <f t="shared" si="2"/>
        <v>0</v>
      </c>
      <c r="M33" s="112"/>
      <c r="N33" s="53">
        <f t="shared" si="4"/>
        <v>0</v>
      </c>
      <c r="O33" s="53">
        <f t="shared" si="5"/>
        <v>0</v>
      </c>
      <c r="P33" s="1"/>
      <c r="R33" s="1"/>
      <c r="S33" s="1"/>
      <c r="T33" s="1"/>
      <c r="U33" s="1"/>
    </row>
    <row r="34" spans="2:21">
      <c r="B34" t="str">
        <f t="shared" si="0"/>
        <v/>
      </c>
      <c r="C34" s="379">
        <f>IF(D11="","-",+C33+1)</f>
        <v>2030</v>
      </c>
      <c r="D34" s="380">
        <f>IF(F33+SUM(E$17:E33)=D$10,F33,D$10-SUM(E$17:E33))</f>
        <v>15790479.100421909</v>
      </c>
      <c r="E34" s="381">
        <f>IF(+I14&lt;F33,I14,D34)</f>
        <v>963807.8666666667</v>
      </c>
      <c r="F34" s="380">
        <f t="shared" si="32"/>
        <v>14826671.233755242</v>
      </c>
      <c r="G34" s="382">
        <f t="shared" si="33"/>
        <v>2715873.1831594459</v>
      </c>
      <c r="H34" s="383">
        <f t="shared" si="34"/>
        <v>2715873.1831594459</v>
      </c>
      <c r="I34" s="384">
        <f t="shared" si="7"/>
        <v>0</v>
      </c>
      <c r="J34" s="384"/>
      <c r="K34" s="385"/>
      <c r="L34" s="386">
        <f t="shared" si="2"/>
        <v>0</v>
      </c>
      <c r="M34" s="385"/>
      <c r="N34" s="386">
        <f t="shared" si="4"/>
        <v>0</v>
      </c>
      <c r="O34" s="386">
        <f t="shared" si="5"/>
        <v>0</v>
      </c>
      <c r="P34" s="387"/>
      <c r="Q34" s="187"/>
      <c r="R34" s="387"/>
      <c r="S34" s="387"/>
      <c r="T34" s="387"/>
      <c r="U34" s="1"/>
    </row>
    <row r="35" spans="2:21">
      <c r="B35" t="str">
        <f t="shared" si="0"/>
        <v/>
      </c>
      <c r="C35" s="49">
        <f>IF(D11="","-",+C34+1)</f>
        <v>2031</v>
      </c>
      <c r="D35" s="54">
        <f>IF(F34+SUM(E$17:E34)=D$10,F34,D$10-SUM(E$17:E34))</f>
        <v>14826671.233755242</v>
      </c>
      <c r="E35" s="377">
        <f>IF(+I14&lt;F34,I14,D35)</f>
        <v>963807.8666666667</v>
      </c>
      <c r="F35" s="54">
        <f t="shared" si="32"/>
        <v>13862863.367088575</v>
      </c>
      <c r="G35" s="378">
        <f t="shared" si="33"/>
        <v>2605565.4427905087</v>
      </c>
      <c r="H35" s="359">
        <f t="shared" si="34"/>
        <v>2605565.4427905087</v>
      </c>
      <c r="I35" s="51">
        <f t="shared" si="7"/>
        <v>0</v>
      </c>
      <c r="J35" s="51"/>
      <c r="K35" s="112"/>
      <c r="L35" s="53">
        <f t="shared" si="2"/>
        <v>0</v>
      </c>
      <c r="M35" s="112"/>
      <c r="N35" s="53">
        <f t="shared" si="4"/>
        <v>0</v>
      </c>
      <c r="O35" s="53">
        <f t="shared" si="5"/>
        <v>0</v>
      </c>
      <c r="P35" s="1"/>
      <c r="R35" s="1"/>
      <c r="S35" s="1"/>
      <c r="T35" s="1"/>
      <c r="U35" s="1"/>
    </row>
    <row r="36" spans="2:21">
      <c r="B36" t="str">
        <f t="shared" si="0"/>
        <v/>
      </c>
      <c r="C36" s="49">
        <f>IF(D11="","-",+C35+1)</f>
        <v>2032</v>
      </c>
      <c r="D36" s="54">
        <f>IF(F35+SUM(E$17:E35)=D$10,F35,D$10-SUM(E$17:E35))</f>
        <v>13862863.367088575</v>
      </c>
      <c r="E36" s="377">
        <f>IF(+I14&lt;F35,I14,D36)</f>
        <v>963807.8666666667</v>
      </c>
      <c r="F36" s="54">
        <f t="shared" si="32"/>
        <v>12899055.500421908</v>
      </c>
      <c r="G36" s="378">
        <f t="shared" si="33"/>
        <v>2495257.7024215716</v>
      </c>
      <c r="H36" s="359">
        <f t="shared" si="34"/>
        <v>2495257.7024215716</v>
      </c>
      <c r="I36" s="51">
        <f t="shared" si="7"/>
        <v>0</v>
      </c>
      <c r="J36" s="51"/>
      <c r="K36" s="112"/>
      <c r="L36" s="53">
        <f t="shared" si="2"/>
        <v>0</v>
      </c>
      <c r="M36" s="112"/>
      <c r="N36" s="53">
        <f t="shared" si="4"/>
        <v>0</v>
      </c>
      <c r="O36" s="53">
        <f t="shared" si="5"/>
        <v>0</v>
      </c>
      <c r="P36" s="1"/>
      <c r="R36" s="1"/>
      <c r="S36" s="1"/>
      <c r="T36" s="1"/>
      <c r="U36" s="1"/>
    </row>
    <row r="37" spans="2:21">
      <c r="B37" t="str">
        <f t="shared" si="0"/>
        <v/>
      </c>
      <c r="C37" s="49">
        <f>IF(D11="","-",+C36+1)</f>
        <v>2033</v>
      </c>
      <c r="D37" s="54">
        <f>IF(F36+SUM(E$17:E36)=D$10,F36,D$10-SUM(E$17:E36))</f>
        <v>12899055.500421908</v>
      </c>
      <c r="E37" s="377">
        <f>IF(+I14&lt;F36,I14,D37)</f>
        <v>963807.8666666667</v>
      </c>
      <c r="F37" s="54">
        <f t="shared" si="32"/>
        <v>11935247.633755241</v>
      </c>
      <c r="G37" s="378">
        <f t="shared" si="33"/>
        <v>2384949.9620526345</v>
      </c>
      <c r="H37" s="359">
        <f t="shared" si="34"/>
        <v>2384949.9620526345</v>
      </c>
      <c r="I37" s="51">
        <f t="shared" si="7"/>
        <v>0</v>
      </c>
      <c r="J37" s="51"/>
      <c r="K37" s="112"/>
      <c r="L37" s="53">
        <f t="shared" si="2"/>
        <v>0</v>
      </c>
      <c r="M37" s="112"/>
      <c r="N37" s="53">
        <f t="shared" si="4"/>
        <v>0</v>
      </c>
      <c r="O37" s="53">
        <f t="shared" si="5"/>
        <v>0</v>
      </c>
      <c r="P37" s="1"/>
      <c r="R37" s="1"/>
      <c r="S37" s="1"/>
      <c r="T37" s="1"/>
      <c r="U37" s="1"/>
    </row>
    <row r="38" spans="2:21">
      <c r="B38" t="str">
        <f t="shared" si="0"/>
        <v/>
      </c>
      <c r="C38" s="49">
        <f>IF(D11="","-",+C37+1)</f>
        <v>2034</v>
      </c>
      <c r="D38" s="54">
        <f>IF(F37+SUM(E$17:E37)=D$10,F37,D$10-SUM(E$17:E37))</f>
        <v>11935247.633755241</v>
      </c>
      <c r="E38" s="377">
        <f>IF(+I14&lt;F37,I14,D38)</f>
        <v>963807.8666666667</v>
      </c>
      <c r="F38" s="54">
        <f t="shared" si="32"/>
        <v>10971439.767088573</v>
      </c>
      <c r="G38" s="378">
        <f t="shared" si="33"/>
        <v>2274642.2216836978</v>
      </c>
      <c r="H38" s="359">
        <f t="shared" si="34"/>
        <v>2274642.2216836978</v>
      </c>
      <c r="I38" s="51">
        <f t="shared" si="7"/>
        <v>0</v>
      </c>
      <c r="J38" s="51"/>
      <c r="K38" s="112"/>
      <c r="L38" s="53">
        <f t="shared" si="2"/>
        <v>0</v>
      </c>
      <c r="M38" s="112"/>
      <c r="N38" s="53">
        <f t="shared" si="4"/>
        <v>0</v>
      </c>
      <c r="O38" s="53">
        <f t="shared" si="5"/>
        <v>0</v>
      </c>
      <c r="P38" s="1"/>
      <c r="R38" s="1"/>
      <c r="S38" s="1"/>
      <c r="T38" s="1"/>
      <c r="U38" s="1"/>
    </row>
    <row r="39" spans="2:21">
      <c r="B39" t="str">
        <f t="shared" si="0"/>
        <v/>
      </c>
      <c r="C39" s="49">
        <f>IF(D11="","-",+C38+1)</f>
        <v>2035</v>
      </c>
      <c r="D39" s="54">
        <f>IF(F38+SUM(E$17:E38)=D$10,F38,D$10-SUM(E$17:E38))</f>
        <v>10971439.767088573</v>
      </c>
      <c r="E39" s="377">
        <f>IF(+I14&lt;F38,I14,D39)</f>
        <v>963807.8666666667</v>
      </c>
      <c r="F39" s="54">
        <f t="shared" si="32"/>
        <v>10007631.900421906</v>
      </c>
      <c r="G39" s="378">
        <f t="shared" si="33"/>
        <v>2164334.4813147606</v>
      </c>
      <c r="H39" s="359">
        <f t="shared" si="34"/>
        <v>2164334.4813147606</v>
      </c>
      <c r="I39" s="51">
        <f t="shared" si="7"/>
        <v>0</v>
      </c>
      <c r="J39" s="51"/>
      <c r="K39" s="112"/>
      <c r="L39" s="53">
        <f t="shared" si="2"/>
        <v>0</v>
      </c>
      <c r="M39" s="112"/>
      <c r="N39" s="53">
        <f t="shared" si="4"/>
        <v>0</v>
      </c>
      <c r="O39" s="53">
        <f t="shared" si="5"/>
        <v>0</v>
      </c>
      <c r="P39" s="1"/>
      <c r="R39" s="1"/>
      <c r="S39" s="1"/>
      <c r="T39" s="1"/>
      <c r="U39" s="1"/>
    </row>
    <row r="40" spans="2:21">
      <c r="B40" t="str">
        <f t="shared" si="0"/>
        <v/>
      </c>
      <c r="C40" s="49">
        <f>IF(D11="","-",+C39+1)</f>
        <v>2036</v>
      </c>
      <c r="D40" s="54">
        <f>IF(F39+SUM(E$17:E39)=D$10,F39,D$10-SUM(E$17:E39))</f>
        <v>10007631.900421906</v>
      </c>
      <c r="E40" s="377">
        <f>IF(+I14&lt;F39,I14,D40)</f>
        <v>963807.8666666667</v>
      </c>
      <c r="F40" s="54">
        <f t="shared" si="32"/>
        <v>9043824.0337552391</v>
      </c>
      <c r="G40" s="378">
        <f t="shared" si="33"/>
        <v>2054026.7409458233</v>
      </c>
      <c r="H40" s="359">
        <f t="shared" si="34"/>
        <v>2054026.7409458233</v>
      </c>
      <c r="I40" s="51">
        <f t="shared" si="7"/>
        <v>0</v>
      </c>
      <c r="J40" s="51"/>
      <c r="K40" s="112"/>
      <c r="L40" s="53">
        <f t="shared" si="2"/>
        <v>0</v>
      </c>
      <c r="M40" s="112"/>
      <c r="N40" s="53">
        <f t="shared" si="4"/>
        <v>0</v>
      </c>
      <c r="O40" s="53">
        <f t="shared" si="5"/>
        <v>0</v>
      </c>
      <c r="P40" s="1"/>
      <c r="R40" s="1"/>
      <c r="S40" s="1"/>
      <c r="T40" s="1"/>
      <c r="U40" s="1"/>
    </row>
    <row r="41" spans="2:21">
      <c r="B41" t="str">
        <f t="shared" si="0"/>
        <v/>
      </c>
      <c r="C41" s="49">
        <f>IF(D12="","-",+C40+1)</f>
        <v>2037</v>
      </c>
      <c r="D41" s="54">
        <f>IF(F40+SUM(E$17:E40)=D$10,F40,D$10-SUM(E$17:E40))</f>
        <v>9043824.0337552391</v>
      </c>
      <c r="E41" s="377">
        <f>IF(+I14&lt;F40,I14,D41)</f>
        <v>963807.8666666667</v>
      </c>
      <c r="F41" s="54">
        <f t="shared" si="32"/>
        <v>8080016.1670885719</v>
      </c>
      <c r="G41" s="378">
        <f t="shared" si="33"/>
        <v>1943719.0005768861</v>
      </c>
      <c r="H41" s="359">
        <f t="shared" si="34"/>
        <v>1943719.0005768861</v>
      </c>
      <c r="I41" s="51">
        <f t="shared" si="7"/>
        <v>0</v>
      </c>
      <c r="J41" s="51"/>
      <c r="K41" s="112"/>
      <c r="L41" s="53">
        <f t="shared" si="2"/>
        <v>0</v>
      </c>
      <c r="M41" s="112"/>
      <c r="N41" s="53">
        <f t="shared" si="4"/>
        <v>0</v>
      </c>
      <c r="O41" s="53">
        <f t="shared" si="5"/>
        <v>0</v>
      </c>
      <c r="P41" s="1"/>
      <c r="R41" s="1"/>
      <c r="S41" s="1"/>
      <c r="T41" s="1"/>
      <c r="U41" s="1"/>
    </row>
    <row r="42" spans="2:21">
      <c r="B42" t="str">
        <f t="shared" si="0"/>
        <v/>
      </c>
      <c r="C42" s="49">
        <f>IF(D13="","-",+C41+1)</f>
        <v>2038</v>
      </c>
      <c r="D42" s="54">
        <f>IF(F41+SUM(E$17:E41)=D$10,F41,D$10-SUM(E$17:E41))</f>
        <v>8080016.1670885719</v>
      </c>
      <c r="E42" s="377">
        <f>IF(+I14&lt;F41,I14,D42)</f>
        <v>963807.8666666667</v>
      </c>
      <c r="F42" s="54">
        <f t="shared" si="32"/>
        <v>7116208.3004219048</v>
      </c>
      <c r="G42" s="378">
        <f t="shared" si="33"/>
        <v>1833411.2602079492</v>
      </c>
      <c r="H42" s="359">
        <f t="shared" si="34"/>
        <v>1833411.2602079492</v>
      </c>
      <c r="I42" s="51">
        <f t="shared" si="7"/>
        <v>0</v>
      </c>
      <c r="J42" s="51"/>
      <c r="K42" s="112"/>
      <c r="L42" s="53">
        <f t="shared" si="2"/>
        <v>0</v>
      </c>
      <c r="M42" s="112"/>
      <c r="N42" s="53">
        <f t="shared" si="4"/>
        <v>0</v>
      </c>
      <c r="O42" s="53">
        <f t="shared" si="5"/>
        <v>0</v>
      </c>
      <c r="P42" s="1"/>
      <c r="R42" s="1"/>
      <c r="S42" s="1"/>
      <c r="T42" s="1"/>
      <c r="U42" s="1"/>
    </row>
    <row r="43" spans="2:21">
      <c r="B43" t="str">
        <f t="shared" si="0"/>
        <v/>
      </c>
      <c r="C43" s="49">
        <f>IF(D11="","-",+C42+1)</f>
        <v>2039</v>
      </c>
      <c r="D43" s="54">
        <f>IF(F42+SUM(E$17:E42)=D$10,F42,D$10-SUM(E$17:E42))</f>
        <v>7116208.3004219048</v>
      </c>
      <c r="E43" s="377">
        <f>IF(+I14&lt;F42,I14,D43)</f>
        <v>963807.8666666667</v>
      </c>
      <c r="F43" s="54">
        <f t="shared" si="32"/>
        <v>6152400.4337552376</v>
      </c>
      <c r="G43" s="378">
        <f t="shared" si="33"/>
        <v>1723103.5198390121</v>
      </c>
      <c r="H43" s="359">
        <f t="shared" si="34"/>
        <v>1723103.5198390121</v>
      </c>
      <c r="I43" s="51">
        <f t="shared" si="7"/>
        <v>0</v>
      </c>
      <c r="J43" s="51"/>
      <c r="K43" s="112"/>
      <c r="L43" s="53">
        <f t="shared" si="2"/>
        <v>0</v>
      </c>
      <c r="M43" s="112"/>
      <c r="N43" s="53">
        <f t="shared" si="4"/>
        <v>0</v>
      </c>
      <c r="O43" s="53">
        <f t="shared" si="5"/>
        <v>0</v>
      </c>
      <c r="P43" s="1"/>
      <c r="R43" s="1"/>
      <c r="S43" s="1"/>
      <c r="T43" s="1"/>
      <c r="U43" s="1"/>
    </row>
    <row r="44" spans="2:21">
      <c r="B44" t="str">
        <f t="shared" si="0"/>
        <v/>
      </c>
      <c r="C44" s="49">
        <f>IF(D11="","-",+C43+1)</f>
        <v>2040</v>
      </c>
      <c r="D44" s="54">
        <f>IF(F43+SUM(E$17:E43)=D$10,F43,D$10-SUM(E$17:E43))</f>
        <v>6152400.4337552376</v>
      </c>
      <c r="E44" s="377">
        <f>IF(+I14&lt;F43,I14,D44)</f>
        <v>963807.8666666667</v>
      </c>
      <c r="F44" s="54">
        <f t="shared" si="32"/>
        <v>5188592.5670885704</v>
      </c>
      <c r="G44" s="378">
        <f t="shared" si="33"/>
        <v>1612795.7794700749</v>
      </c>
      <c r="H44" s="359">
        <f t="shared" si="34"/>
        <v>1612795.7794700749</v>
      </c>
      <c r="I44" s="51">
        <f t="shared" si="7"/>
        <v>0</v>
      </c>
      <c r="J44" s="51"/>
      <c r="K44" s="112"/>
      <c r="L44" s="53">
        <f t="shared" si="2"/>
        <v>0</v>
      </c>
      <c r="M44" s="112"/>
      <c r="N44" s="53">
        <f t="shared" si="4"/>
        <v>0</v>
      </c>
      <c r="O44" s="53">
        <f t="shared" si="5"/>
        <v>0</v>
      </c>
      <c r="P44" s="1"/>
      <c r="R44" s="1"/>
      <c r="S44" s="1"/>
      <c r="T44" s="1"/>
      <c r="U44" s="1"/>
    </row>
    <row r="45" spans="2:21">
      <c r="B45" t="str">
        <f t="shared" si="0"/>
        <v/>
      </c>
      <c r="C45" s="49">
        <f>IF(D11="","-",+C44+1)</f>
        <v>2041</v>
      </c>
      <c r="D45" s="54">
        <f>IF(F44+SUM(E$17:E44)=D$10,F44,D$10-SUM(E$17:E44))</f>
        <v>5188592.5670885704</v>
      </c>
      <c r="E45" s="377">
        <f>IF(+I14&lt;F44,I14,D45)</f>
        <v>963807.8666666667</v>
      </c>
      <c r="F45" s="54">
        <f t="shared" si="32"/>
        <v>4224784.7004219033</v>
      </c>
      <c r="G45" s="378">
        <f t="shared" si="33"/>
        <v>1502488.0391011378</v>
      </c>
      <c r="H45" s="359">
        <f t="shared" si="34"/>
        <v>1502488.0391011378</v>
      </c>
      <c r="I45" s="51">
        <f t="shared" si="7"/>
        <v>0</v>
      </c>
      <c r="J45" s="51"/>
      <c r="K45" s="112"/>
      <c r="L45" s="53">
        <f t="shared" si="2"/>
        <v>0</v>
      </c>
      <c r="M45" s="112"/>
      <c r="N45" s="53">
        <f t="shared" si="4"/>
        <v>0</v>
      </c>
      <c r="O45" s="53">
        <f t="shared" si="5"/>
        <v>0</v>
      </c>
      <c r="P45" s="1"/>
      <c r="R45" s="1"/>
      <c r="S45" s="1"/>
      <c r="T45" s="1"/>
      <c r="U45" s="1"/>
    </row>
    <row r="46" spans="2:21">
      <c r="B46" t="str">
        <f t="shared" si="0"/>
        <v/>
      </c>
      <c r="C46" s="49">
        <f>IF(D11="","-",+C45+1)</f>
        <v>2042</v>
      </c>
      <c r="D46" s="54">
        <f>IF(F45+SUM(E$17:E45)=D$10,F45,D$10-SUM(E$17:E45))</f>
        <v>4224784.7004219033</v>
      </c>
      <c r="E46" s="377">
        <f>IF(+I14&lt;F45,I14,D46)</f>
        <v>963807.8666666667</v>
      </c>
      <c r="F46" s="54">
        <f t="shared" si="32"/>
        <v>3260976.8337552366</v>
      </c>
      <c r="G46" s="378">
        <f t="shared" si="33"/>
        <v>1392180.2987322006</v>
      </c>
      <c r="H46" s="359">
        <f t="shared" si="34"/>
        <v>1392180.2987322006</v>
      </c>
      <c r="I46" s="51">
        <f t="shared" si="7"/>
        <v>0</v>
      </c>
      <c r="J46" s="51"/>
      <c r="K46" s="112"/>
      <c r="L46" s="53">
        <f t="shared" si="2"/>
        <v>0</v>
      </c>
      <c r="M46" s="112"/>
      <c r="N46" s="53">
        <f t="shared" si="4"/>
        <v>0</v>
      </c>
      <c r="O46" s="53">
        <f t="shared" si="5"/>
        <v>0</v>
      </c>
      <c r="P46" s="1"/>
      <c r="R46" s="1"/>
      <c r="S46" s="1"/>
      <c r="T46" s="1"/>
      <c r="U46" s="1"/>
    </row>
    <row r="47" spans="2:21">
      <c r="B47" t="str">
        <f t="shared" si="0"/>
        <v/>
      </c>
      <c r="C47" s="49">
        <f>IF(D11="","-",+C46+1)</f>
        <v>2043</v>
      </c>
      <c r="D47" s="54">
        <f>IF(F46+SUM(E$17:E46)=D$10,F46,D$10-SUM(E$17:E46))</f>
        <v>3260976.8337552366</v>
      </c>
      <c r="E47" s="377">
        <f>IF(+I14&lt;F46,I14,D47)</f>
        <v>963807.8666666667</v>
      </c>
      <c r="F47" s="54">
        <f t="shared" si="32"/>
        <v>2297168.9670885699</v>
      </c>
      <c r="G47" s="378">
        <f t="shared" si="33"/>
        <v>1281872.5583632637</v>
      </c>
      <c r="H47" s="359">
        <f t="shared" si="34"/>
        <v>1281872.5583632637</v>
      </c>
      <c r="I47" s="51">
        <f t="shared" si="7"/>
        <v>0</v>
      </c>
      <c r="J47" s="51"/>
      <c r="K47" s="112"/>
      <c r="L47" s="53">
        <f t="shared" si="2"/>
        <v>0</v>
      </c>
      <c r="M47" s="112"/>
      <c r="N47" s="53">
        <f t="shared" si="4"/>
        <v>0</v>
      </c>
      <c r="O47" s="53">
        <f t="shared" si="5"/>
        <v>0</v>
      </c>
      <c r="P47" s="1"/>
      <c r="R47" s="1"/>
      <c r="S47" s="1"/>
      <c r="T47" s="1"/>
      <c r="U47" s="1"/>
    </row>
    <row r="48" spans="2:21">
      <c r="B48" t="str">
        <f t="shared" si="0"/>
        <v/>
      </c>
      <c r="C48" s="49">
        <f>IF(D11="","-",+C47+1)</f>
        <v>2044</v>
      </c>
      <c r="D48" s="54">
        <f>IF(F47+SUM(E$17:E47)=D$10,F47,D$10-SUM(E$17:E47))</f>
        <v>2297168.9670885699</v>
      </c>
      <c r="E48" s="377">
        <f>IF(+I14&lt;F47,I14,D48)</f>
        <v>963807.8666666667</v>
      </c>
      <c r="F48" s="54">
        <f t="shared" si="32"/>
        <v>1333361.1004219032</v>
      </c>
      <c r="G48" s="378">
        <f t="shared" si="33"/>
        <v>1171564.8179943266</v>
      </c>
      <c r="H48" s="359">
        <f t="shared" si="34"/>
        <v>1171564.8179943266</v>
      </c>
      <c r="I48" s="51">
        <f t="shared" si="7"/>
        <v>0</v>
      </c>
      <c r="J48" s="51"/>
      <c r="K48" s="112"/>
      <c r="L48" s="53">
        <f t="shared" si="2"/>
        <v>0</v>
      </c>
      <c r="M48" s="112"/>
      <c r="N48" s="53">
        <f t="shared" si="4"/>
        <v>0</v>
      </c>
      <c r="O48" s="53">
        <f t="shared" si="5"/>
        <v>0</v>
      </c>
      <c r="P48" s="1"/>
      <c r="R48" s="1"/>
      <c r="S48" s="1"/>
      <c r="T48" s="1"/>
      <c r="U48" s="1"/>
    </row>
    <row r="49" spans="2:21">
      <c r="B49" t="str">
        <f t="shared" si="0"/>
        <v/>
      </c>
      <c r="C49" s="49">
        <f>IF(D11="","-",+C48+1)</f>
        <v>2045</v>
      </c>
      <c r="D49" s="54">
        <f>IF(F48+SUM(E$17:E48)=D$10,F48,D$10-SUM(E$17:E48))</f>
        <v>1333361.1004219032</v>
      </c>
      <c r="E49" s="377">
        <f>IF(+I14&lt;F48,I14,D49)</f>
        <v>963807.8666666667</v>
      </c>
      <c r="F49" s="54">
        <f t="shared" si="32"/>
        <v>369553.23375523649</v>
      </c>
      <c r="G49" s="378">
        <f t="shared" si="33"/>
        <v>1061257.0776253894</v>
      </c>
      <c r="H49" s="359">
        <f t="shared" si="34"/>
        <v>1061257.0776253894</v>
      </c>
      <c r="I49" s="51">
        <f t="shared" si="7"/>
        <v>0</v>
      </c>
      <c r="J49" s="51"/>
      <c r="K49" s="112"/>
      <c r="L49" s="53">
        <f t="shared" si="2"/>
        <v>0</v>
      </c>
      <c r="M49" s="112"/>
      <c r="N49" s="53">
        <f t="shared" si="4"/>
        <v>0</v>
      </c>
      <c r="O49" s="53">
        <f t="shared" si="5"/>
        <v>0</v>
      </c>
      <c r="P49" s="1"/>
      <c r="R49" s="1"/>
      <c r="S49" s="1"/>
      <c r="T49" s="1"/>
      <c r="U49" s="1"/>
    </row>
    <row r="50" spans="2:21">
      <c r="B50" t="str">
        <f t="shared" ref="B50:B73" si="35">IF(D50=F49,"","IU")</f>
        <v/>
      </c>
      <c r="C50" s="49">
        <f>IF(D11="","-",+C49+1)</f>
        <v>2046</v>
      </c>
      <c r="D50" s="54">
        <f>IF(F49+SUM(E$17:E49)=D$10,F49,D$10-SUM(E$17:E49))</f>
        <v>369553.23375523649</v>
      </c>
      <c r="E50" s="377">
        <f>IF(+I14&lt;F49,I14,D50)</f>
        <v>369553.23375523649</v>
      </c>
      <c r="F50" s="54">
        <f t="shared" ref="F50:F73" si="36">+D50-E50</f>
        <v>0</v>
      </c>
      <c r="G50" s="378">
        <f t="shared" si="33"/>
        <v>390700.90414236364</v>
      </c>
      <c r="H50" s="359">
        <f t="shared" si="34"/>
        <v>390700.90414236364</v>
      </c>
      <c r="I50" s="51">
        <f t="shared" ref="I50:I73" si="37">H50-G50</f>
        <v>0</v>
      </c>
      <c r="J50" s="51"/>
      <c r="K50" s="112"/>
      <c r="L50" s="53">
        <f t="shared" ref="L50:L73" si="38">IF(K50&lt;&gt;0,+G50-K50,0)</f>
        <v>0</v>
      </c>
      <c r="M50" s="112"/>
      <c r="N50" s="53">
        <f t="shared" ref="N50:N73" si="39">IF(M50&lt;&gt;0,+H50-M50,0)</f>
        <v>0</v>
      </c>
      <c r="O50" s="53">
        <f t="shared" ref="O50:O73" si="40">+N50-L50</f>
        <v>0</v>
      </c>
      <c r="P50" s="1"/>
      <c r="R50" s="1"/>
      <c r="S50" s="1"/>
      <c r="T50" s="1"/>
      <c r="U50" s="1"/>
    </row>
    <row r="51" spans="2:21">
      <c r="B51" t="str">
        <f t="shared" si="35"/>
        <v/>
      </c>
      <c r="C51" s="49">
        <f>IF(D11="","-",+C50+1)</f>
        <v>2047</v>
      </c>
      <c r="D51" s="54">
        <f>IF(F50+SUM(E$17:E50)=D$10,F50,D$10-SUM(E$17:E50))</f>
        <v>0</v>
      </c>
      <c r="E51" s="377">
        <f>IF(+I14&lt;F50,I14,D51)</f>
        <v>0</v>
      </c>
      <c r="F51" s="54">
        <f t="shared" si="36"/>
        <v>0</v>
      </c>
      <c r="G51" s="378">
        <f t="shared" si="33"/>
        <v>0</v>
      </c>
      <c r="H51" s="359">
        <f t="shared" si="34"/>
        <v>0</v>
      </c>
      <c r="I51" s="51">
        <f t="shared" si="37"/>
        <v>0</v>
      </c>
      <c r="J51" s="51"/>
      <c r="K51" s="112"/>
      <c r="L51" s="53">
        <f t="shared" si="38"/>
        <v>0</v>
      </c>
      <c r="M51" s="112"/>
      <c r="N51" s="53">
        <f t="shared" si="39"/>
        <v>0</v>
      </c>
      <c r="O51" s="53">
        <f t="shared" si="40"/>
        <v>0</v>
      </c>
      <c r="P51" s="1"/>
      <c r="R51" s="1"/>
      <c r="S51" s="1"/>
      <c r="T51" s="1"/>
      <c r="U51" s="1"/>
    </row>
    <row r="52" spans="2:21">
      <c r="B52" t="str">
        <f t="shared" si="35"/>
        <v/>
      </c>
      <c r="C52" s="49">
        <f>IF(D11="","-",+C51+1)</f>
        <v>2048</v>
      </c>
      <c r="D52" s="54">
        <f>IF(F51+SUM(E$17:E51)=D$10,F51,D$10-SUM(E$17:E51))</f>
        <v>0</v>
      </c>
      <c r="E52" s="377">
        <f>IF(+I14&lt;F51,I14,D52)</f>
        <v>0</v>
      </c>
      <c r="F52" s="54">
        <f t="shared" si="36"/>
        <v>0</v>
      </c>
      <c r="G52" s="378">
        <f t="shared" si="33"/>
        <v>0</v>
      </c>
      <c r="H52" s="359">
        <f t="shared" si="34"/>
        <v>0</v>
      </c>
      <c r="I52" s="51">
        <f t="shared" si="37"/>
        <v>0</v>
      </c>
      <c r="J52" s="51"/>
      <c r="K52" s="112"/>
      <c r="L52" s="53">
        <f t="shared" si="38"/>
        <v>0</v>
      </c>
      <c r="M52" s="112"/>
      <c r="N52" s="53">
        <f t="shared" si="39"/>
        <v>0</v>
      </c>
      <c r="O52" s="53">
        <f t="shared" si="40"/>
        <v>0</v>
      </c>
      <c r="P52" s="1"/>
      <c r="R52" s="1"/>
      <c r="S52" s="1"/>
      <c r="T52" s="1"/>
      <c r="U52" s="1"/>
    </row>
    <row r="53" spans="2:21">
      <c r="B53" t="str">
        <f t="shared" si="35"/>
        <v/>
      </c>
      <c r="C53" s="49">
        <f>IF(D11="","-",+C52+1)</f>
        <v>2049</v>
      </c>
      <c r="D53" s="358">
        <f>IF(F52+SUM(E$17:E52)=D$10,F52,D$10-SUM(E$17:E52))</f>
        <v>0</v>
      </c>
      <c r="E53" s="377">
        <f>IF(+I14&lt;F52,I14,D53)</f>
        <v>0</v>
      </c>
      <c r="F53" s="54">
        <f t="shared" si="36"/>
        <v>0</v>
      </c>
      <c r="G53" s="378">
        <f t="shared" si="33"/>
        <v>0</v>
      </c>
      <c r="H53" s="359">
        <f t="shared" si="34"/>
        <v>0</v>
      </c>
      <c r="I53" s="51">
        <f t="shared" si="37"/>
        <v>0</v>
      </c>
      <c r="J53" s="51"/>
      <c r="K53" s="112"/>
      <c r="L53" s="53">
        <f t="shared" si="38"/>
        <v>0</v>
      </c>
      <c r="M53" s="112"/>
      <c r="N53" s="53">
        <f t="shared" si="39"/>
        <v>0</v>
      </c>
      <c r="O53" s="53">
        <f t="shared" si="40"/>
        <v>0</v>
      </c>
      <c r="P53" s="1"/>
      <c r="R53" s="1"/>
      <c r="S53" s="1"/>
      <c r="T53" s="1"/>
      <c r="U53" s="1"/>
    </row>
    <row r="54" spans="2:21">
      <c r="B54" t="str">
        <f t="shared" si="35"/>
        <v/>
      </c>
      <c r="C54" s="49">
        <f>IF(D11="","-",+C53+1)</f>
        <v>2050</v>
      </c>
      <c r="D54" s="54">
        <f>IF(F53+SUM(E$17:E53)=D$10,F53,D$10-SUM(E$17:E53))</f>
        <v>0</v>
      </c>
      <c r="E54" s="377">
        <f>IF(+I14&lt;F53,I14,D54)</f>
        <v>0</v>
      </c>
      <c r="F54" s="54">
        <f t="shared" si="36"/>
        <v>0</v>
      </c>
      <c r="G54" s="378">
        <f t="shared" si="33"/>
        <v>0</v>
      </c>
      <c r="H54" s="359">
        <f t="shared" si="34"/>
        <v>0</v>
      </c>
      <c r="I54" s="51">
        <f t="shared" si="37"/>
        <v>0</v>
      </c>
      <c r="J54" s="51"/>
      <c r="K54" s="112"/>
      <c r="L54" s="53">
        <f t="shared" si="38"/>
        <v>0</v>
      </c>
      <c r="M54" s="112"/>
      <c r="N54" s="53">
        <f t="shared" si="39"/>
        <v>0</v>
      </c>
      <c r="O54" s="53">
        <f t="shared" si="40"/>
        <v>0</v>
      </c>
      <c r="P54" s="1"/>
      <c r="R54" s="1"/>
      <c r="S54" s="1"/>
      <c r="T54" s="1"/>
      <c r="U54" s="1"/>
    </row>
    <row r="55" spans="2:21">
      <c r="B55" t="str">
        <f t="shared" si="35"/>
        <v/>
      </c>
      <c r="C55" s="49">
        <f>IF(D11="","-",+C54+1)</f>
        <v>2051</v>
      </c>
      <c r="D55" s="54">
        <f>IF(F54+SUM(E$17:E54)=D$10,F54,D$10-SUM(E$17:E54))</f>
        <v>0</v>
      </c>
      <c r="E55" s="377">
        <f>IF(+I14&lt;F54,I14,D55)</f>
        <v>0</v>
      </c>
      <c r="F55" s="54">
        <f t="shared" si="36"/>
        <v>0</v>
      </c>
      <c r="G55" s="378">
        <f t="shared" si="33"/>
        <v>0</v>
      </c>
      <c r="H55" s="359">
        <f t="shared" si="34"/>
        <v>0</v>
      </c>
      <c r="I55" s="51">
        <f t="shared" si="37"/>
        <v>0</v>
      </c>
      <c r="J55" s="51"/>
      <c r="K55" s="112"/>
      <c r="L55" s="53">
        <f t="shared" si="38"/>
        <v>0</v>
      </c>
      <c r="M55" s="112"/>
      <c r="N55" s="53">
        <f t="shared" si="39"/>
        <v>0</v>
      </c>
      <c r="O55" s="53">
        <f t="shared" si="40"/>
        <v>0</v>
      </c>
      <c r="P55" s="1"/>
      <c r="R55" s="1"/>
      <c r="S55" s="1"/>
      <c r="T55" s="1"/>
      <c r="U55" s="1"/>
    </row>
    <row r="56" spans="2:21">
      <c r="B56" t="str">
        <f t="shared" si="35"/>
        <v/>
      </c>
      <c r="C56" s="49">
        <f>IF(D11="","-",+C55+1)</f>
        <v>2052</v>
      </c>
      <c r="D56" s="54">
        <f>IF(F55+SUM(E$17:E55)=D$10,F55,D$10-SUM(E$17:E55))</f>
        <v>0</v>
      </c>
      <c r="E56" s="377">
        <f>IF(+I14&lt;F55,I14,D56)</f>
        <v>0</v>
      </c>
      <c r="F56" s="54">
        <f t="shared" si="36"/>
        <v>0</v>
      </c>
      <c r="G56" s="378">
        <f t="shared" si="33"/>
        <v>0</v>
      </c>
      <c r="H56" s="359">
        <f t="shared" si="34"/>
        <v>0</v>
      </c>
      <c r="I56" s="51">
        <f t="shared" si="37"/>
        <v>0</v>
      </c>
      <c r="J56" s="51"/>
      <c r="K56" s="112"/>
      <c r="L56" s="53">
        <f t="shared" si="38"/>
        <v>0</v>
      </c>
      <c r="M56" s="112"/>
      <c r="N56" s="53">
        <f t="shared" si="39"/>
        <v>0</v>
      </c>
      <c r="O56" s="53">
        <f t="shared" si="40"/>
        <v>0</v>
      </c>
      <c r="P56" s="1"/>
      <c r="R56" s="1"/>
      <c r="S56" s="1"/>
      <c r="T56" s="1"/>
      <c r="U56" s="1"/>
    </row>
    <row r="57" spans="2:21">
      <c r="B57" t="str">
        <f t="shared" si="35"/>
        <v/>
      </c>
      <c r="C57" s="49">
        <f>IF(D11="","-",+C56+1)</f>
        <v>2053</v>
      </c>
      <c r="D57" s="54">
        <f>IF(F56+SUM(E$17:E56)=D$10,F56,D$10-SUM(E$17:E56))</f>
        <v>0</v>
      </c>
      <c r="E57" s="377">
        <f>IF(+I14&lt;F56,I14,D57)</f>
        <v>0</v>
      </c>
      <c r="F57" s="54">
        <f t="shared" si="36"/>
        <v>0</v>
      </c>
      <c r="G57" s="378">
        <f t="shared" si="33"/>
        <v>0</v>
      </c>
      <c r="H57" s="359">
        <f t="shared" si="34"/>
        <v>0</v>
      </c>
      <c r="I57" s="51">
        <f t="shared" si="37"/>
        <v>0</v>
      </c>
      <c r="J57" s="51"/>
      <c r="K57" s="112"/>
      <c r="L57" s="53">
        <f t="shared" si="38"/>
        <v>0</v>
      </c>
      <c r="M57" s="112"/>
      <c r="N57" s="53">
        <f t="shared" si="39"/>
        <v>0</v>
      </c>
      <c r="O57" s="53">
        <f t="shared" si="40"/>
        <v>0</v>
      </c>
      <c r="P57" s="1"/>
      <c r="R57" s="1"/>
      <c r="S57" s="1"/>
      <c r="T57" s="1"/>
      <c r="U57" s="1"/>
    </row>
    <row r="58" spans="2:21">
      <c r="B58" t="str">
        <f t="shared" si="35"/>
        <v/>
      </c>
      <c r="C58" s="49">
        <f>IF(D11="","-",+C57+1)</f>
        <v>2054</v>
      </c>
      <c r="D58" s="54">
        <f>IF(F57+SUM(E$17:E57)=D$10,F57,D$10-SUM(E$17:E57))</f>
        <v>0</v>
      </c>
      <c r="E58" s="377">
        <f>IF(+I14&lt;F57,I14,D58)</f>
        <v>0</v>
      </c>
      <c r="F58" s="54">
        <f t="shared" si="36"/>
        <v>0</v>
      </c>
      <c r="G58" s="378">
        <f t="shared" si="33"/>
        <v>0</v>
      </c>
      <c r="H58" s="359">
        <f t="shared" si="34"/>
        <v>0</v>
      </c>
      <c r="I58" s="51">
        <f t="shared" si="37"/>
        <v>0</v>
      </c>
      <c r="J58" s="51"/>
      <c r="K58" s="112"/>
      <c r="L58" s="53">
        <f t="shared" si="38"/>
        <v>0</v>
      </c>
      <c r="M58" s="112"/>
      <c r="N58" s="53">
        <f t="shared" si="39"/>
        <v>0</v>
      </c>
      <c r="O58" s="53">
        <f t="shared" si="40"/>
        <v>0</v>
      </c>
      <c r="P58" s="1"/>
      <c r="R58" s="1"/>
      <c r="S58" s="1"/>
      <c r="T58" s="1"/>
      <c r="U58" s="1"/>
    </row>
    <row r="59" spans="2:21">
      <c r="B59" t="str">
        <f t="shared" si="35"/>
        <v/>
      </c>
      <c r="C59" s="49">
        <f>IF(D11="","-",+C58+1)</f>
        <v>2055</v>
      </c>
      <c r="D59" s="54">
        <f>IF(F58+SUM(E$17:E58)=D$10,F58,D$10-SUM(E$17:E58))</f>
        <v>0</v>
      </c>
      <c r="E59" s="377">
        <f>IF(+I14&lt;F58,I14,D59)</f>
        <v>0</v>
      </c>
      <c r="F59" s="54">
        <f t="shared" si="36"/>
        <v>0</v>
      </c>
      <c r="G59" s="378">
        <f t="shared" si="33"/>
        <v>0</v>
      </c>
      <c r="H59" s="359">
        <f t="shared" si="34"/>
        <v>0</v>
      </c>
      <c r="I59" s="51">
        <f t="shared" si="37"/>
        <v>0</v>
      </c>
      <c r="J59" s="51"/>
      <c r="K59" s="112"/>
      <c r="L59" s="53">
        <f t="shared" si="38"/>
        <v>0</v>
      </c>
      <c r="M59" s="112"/>
      <c r="N59" s="53">
        <f t="shared" si="39"/>
        <v>0</v>
      </c>
      <c r="O59" s="53">
        <f t="shared" si="40"/>
        <v>0</v>
      </c>
      <c r="P59" s="1"/>
      <c r="R59" s="1"/>
      <c r="S59" s="1"/>
      <c r="T59" s="1"/>
      <c r="U59" s="1"/>
    </row>
    <row r="60" spans="2:21">
      <c r="B60" t="str">
        <f t="shared" si="35"/>
        <v/>
      </c>
      <c r="C60" s="49">
        <f>IF(D11="","-",+C59+1)</f>
        <v>2056</v>
      </c>
      <c r="D60" s="54">
        <f>IF(F59+SUM(E$17:E59)=D$10,F59,D$10-SUM(E$17:E59))</f>
        <v>0</v>
      </c>
      <c r="E60" s="377">
        <f>IF(+I14&lt;F59,I14,D60)</f>
        <v>0</v>
      </c>
      <c r="F60" s="54">
        <f t="shared" si="36"/>
        <v>0</v>
      </c>
      <c r="G60" s="378">
        <f t="shared" si="33"/>
        <v>0</v>
      </c>
      <c r="H60" s="359">
        <f t="shared" si="34"/>
        <v>0</v>
      </c>
      <c r="I60" s="51">
        <f t="shared" si="37"/>
        <v>0</v>
      </c>
      <c r="J60" s="51"/>
      <c r="K60" s="112"/>
      <c r="L60" s="53">
        <f t="shared" si="38"/>
        <v>0</v>
      </c>
      <c r="M60" s="112"/>
      <c r="N60" s="53">
        <f t="shared" si="39"/>
        <v>0</v>
      </c>
      <c r="O60" s="53">
        <f t="shared" si="40"/>
        <v>0</v>
      </c>
      <c r="P60" s="1"/>
      <c r="R60" s="1"/>
      <c r="S60" s="1"/>
      <c r="T60" s="1"/>
      <c r="U60" s="1"/>
    </row>
    <row r="61" spans="2:21">
      <c r="B61" t="str">
        <f t="shared" si="35"/>
        <v/>
      </c>
      <c r="C61" s="49">
        <f>IF(D11="","-",+C60+1)</f>
        <v>2057</v>
      </c>
      <c r="D61" s="54">
        <f>IF(F60+SUM(E$17:E60)=D$10,F60,D$10-SUM(E$17:E60))</f>
        <v>0</v>
      </c>
      <c r="E61" s="377">
        <f>IF(+I14&lt;F60,I14,D61)</f>
        <v>0</v>
      </c>
      <c r="F61" s="54">
        <f t="shared" si="36"/>
        <v>0</v>
      </c>
      <c r="G61" s="378">
        <f t="shared" si="33"/>
        <v>0</v>
      </c>
      <c r="H61" s="359">
        <f t="shared" si="34"/>
        <v>0</v>
      </c>
      <c r="I61" s="51">
        <f t="shared" si="37"/>
        <v>0</v>
      </c>
      <c r="J61" s="51"/>
      <c r="K61" s="112"/>
      <c r="L61" s="53">
        <f t="shared" si="38"/>
        <v>0</v>
      </c>
      <c r="M61" s="112"/>
      <c r="N61" s="53">
        <f t="shared" si="39"/>
        <v>0</v>
      </c>
      <c r="O61" s="53">
        <f t="shared" si="40"/>
        <v>0</v>
      </c>
      <c r="P61" s="1"/>
      <c r="R61" s="1"/>
      <c r="S61" s="1"/>
      <c r="T61" s="1"/>
      <c r="U61" s="1"/>
    </row>
    <row r="62" spans="2:21">
      <c r="B62" t="str">
        <f t="shared" si="35"/>
        <v/>
      </c>
      <c r="C62" s="49">
        <f>IF(D11="","-",+C61+1)</f>
        <v>2058</v>
      </c>
      <c r="D62" s="54">
        <f>IF(F61+SUM(E$17:E61)=D$10,F61,D$10-SUM(E$17:E61))</f>
        <v>0</v>
      </c>
      <c r="E62" s="377">
        <f>IF(+I14&lt;F61,I14,D62)</f>
        <v>0</v>
      </c>
      <c r="F62" s="54">
        <f t="shared" si="36"/>
        <v>0</v>
      </c>
      <c r="G62" s="388">
        <f t="shared" si="33"/>
        <v>0</v>
      </c>
      <c r="H62" s="359">
        <f t="shared" si="34"/>
        <v>0</v>
      </c>
      <c r="I62" s="51">
        <f t="shared" si="37"/>
        <v>0</v>
      </c>
      <c r="J62" s="51"/>
      <c r="K62" s="112"/>
      <c r="L62" s="53">
        <f t="shared" si="38"/>
        <v>0</v>
      </c>
      <c r="M62" s="112"/>
      <c r="N62" s="53">
        <f t="shared" si="39"/>
        <v>0</v>
      </c>
      <c r="O62" s="53">
        <f t="shared" si="40"/>
        <v>0</v>
      </c>
      <c r="P62" s="1"/>
      <c r="R62" s="1"/>
      <c r="S62" s="1"/>
      <c r="T62" s="1"/>
      <c r="U62" s="1"/>
    </row>
    <row r="63" spans="2:21">
      <c r="B63" t="str">
        <f t="shared" si="35"/>
        <v/>
      </c>
      <c r="C63" s="49">
        <f>IF(D11="","-",+C62+1)</f>
        <v>2059</v>
      </c>
      <c r="D63" s="54">
        <f>IF(F62+SUM(E$17:E62)=D$10,F62,D$10-SUM(E$17:E62))</f>
        <v>0</v>
      </c>
      <c r="E63" s="377">
        <f>IF(+I14&lt;F62,I14,D63)</f>
        <v>0</v>
      </c>
      <c r="F63" s="54">
        <f t="shared" si="36"/>
        <v>0</v>
      </c>
      <c r="G63" s="388">
        <f t="shared" si="33"/>
        <v>0</v>
      </c>
      <c r="H63" s="359">
        <f t="shared" si="34"/>
        <v>0</v>
      </c>
      <c r="I63" s="51">
        <f t="shared" si="37"/>
        <v>0</v>
      </c>
      <c r="J63" s="51"/>
      <c r="K63" s="112"/>
      <c r="L63" s="53">
        <f t="shared" si="38"/>
        <v>0</v>
      </c>
      <c r="M63" s="112"/>
      <c r="N63" s="53">
        <f t="shared" si="39"/>
        <v>0</v>
      </c>
      <c r="O63" s="53">
        <f t="shared" si="40"/>
        <v>0</v>
      </c>
      <c r="P63" s="1"/>
      <c r="R63" s="1"/>
      <c r="S63" s="1"/>
      <c r="T63" s="1"/>
      <c r="U63" s="1"/>
    </row>
    <row r="64" spans="2:21">
      <c r="B64" t="str">
        <f t="shared" si="35"/>
        <v/>
      </c>
      <c r="C64" s="49">
        <f>IF(D11="","-",+C63+1)</f>
        <v>2060</v>
      </c>
      <c r="D64" s="54">
        <f>IF(F63+SUM(E$17:E63)=D$10,F63,D$10-SUM(E$17:E63))</f>
        <v>0</v>
      </c>
      <c r="E64" s="377">
        <f>IF(+I14&lt;F63,I14,D64)</f>
        <v>0</v>
      </c>
      <c r="F64" s="54">
        <f t="shared" si="36"/>
        <v>0</v>
      </c>
      <c r="G64" s="388">
        <f t="shared" si="33"/>
        <v>0</v>
      </c>
      <c r="H64" s="359">
        <f t="shared" si="34"/>
        <v>0</v>
      </c>
      <c r="I64" s="51">
        <f t="shared" si="37"/>
        <v>0</v>
      </c>
      <c r="J64" s="51"/>
      <c r="K64" s="112"/>
      <c r="L64" s="53">
        <f t="shared" si="38"/>
        <v>0</v>
      </c>
      <c r="M64" s="112"/>
      <c r="N64" s="53">
        <f t="shared" si="39"/>
        <v>0</v>
      </c>
      <c r="O64" s="53">
        <f t="shared" si="40"/>
        <v>0</v>
      </c>
      <c r="P64" s="1"/>
      <c r="R64" s="1"/>
      <c r="S64" s="1"/>
      <c r="T64" s="1"/>
      <c r="U64" s="1"/>
    </row>
    <row r="65" spans="2:21">
      <c r="B65" t="str">
        <f t="shared" si="35"/>
        <v/>
      </c>
      <c r="C65" s="49">
        <f>IF(D11="","-",+C64+1)</f>
        <v>2061</v>
      </c>
      <c r="D65" s="54">
        <f>IF(F64+SUM(E$17:E64)=D$10,F64,D$10-SUM(E$17:E64))</f>
        <v>0</v>
      </c>
      <c r="E65" s="377">
        <f>IF(+I14&lt;F64,I14,D65)</f>
        <v>0</v>
      </c>
      <c r="F65" s="54">
        <f t="shared" si="36"/>
        <v>0</v>
      </c>
      <c r="G65" s="388">
        <f t="shared" si="33"/>
        <v>0</v>
      </c>
      <c r="H65" s="359">
        <f t="shared" si="34"/>
        <v>0</v>
      </c>
      <c r="I65" s="51">
        <f t="shared" si="37"/>
        <v>0</v>
      </c>
      <c r="J65" s="51"/>
      <c r="K65" s="112"/>
      <c r="L65" s="53">
        <f t="shared" si="38"/>
        <v>0</v>
      </c>
      <c r="M65" s="112"/>
      <c r="N65" s="53">
        <f t="shared" si="39"/>
        <v>0</v>
      </c>
      <c r="O65" s="53">
        <f t="shared" si="40"/>
        <v>0</v>
      </c>
      <c r="P65" s="1"/>
      <c r="R65" s="1"/>
      <c r="S65" s="1"/>
      <c r="T65" s="1"/>
      <c r="U65" s="1"/>
    </row>
    <row r="66" spans="2:21">
      <c r="B66" t="str">
        <f t="shared" si="35"/>
        <v/>
      </c>
      <c r="C66" s="49">
        <f>IF(D11="","-",+C65+1)</f>
        <v>2062</v>
      </c>
      <c r="D66" s="54">
        <f>IF(F65+SUM(E$17:E65)=D$10,F65,D$10-SUM(E$17:E65))</f>
        <v>0</v>
      </c>
      <c r="E66" s="377">
        <f>IF(+I14&lt;F65,I14,D66)</f>
        <v>0</v>
      </c>
      <c r="F66" s="54">
        <f t="shared" si="36"/>
        <v>0</v>
      </c>
      <c r="G66" s="388">
        <f t="shared" si="33"/>
        <v>0</v>
      </c>
      <c r="H66" s="359">
        <f t="shared" si="34"/>
        <v>0</v>
      </c>
      <c r="I66" s="51">
        <f t="shared" si="37"/>
        <v>0</v>
      </c>
      <c r="J66" s="51"/>
      <c r="K66" s="112"/>
      <c r="L66" s="53">
        <f t="shared" si="38"/>
        <v>0</v>
      </c>
      <c r="M66" s="112"/>
      <c r="N66" s="53">
        <f t="shared" si="39"/>
        <v>0</v>
      </c>
      <c r="O66" s="53">
        <f t="shared" si="40"/>
        <v>0</v>
      </c>
      <c r="P66" s="1"/>
      <c r="R66" s="1"/>
      <c r="S66" s="1"/>
      <c r="T66" s="1"/>
      <c r="U66" s="1"/>
    </row>
    <row r="67" spans="2:21">
      <c r="B67" t="str">
        <f t="shared" si="35"/>
        <v/>
      </c>
      <c r="C67" s="49">
        <f>IF(D11="","-",+C66+1)</f>
        <v>2063</v>
      </c>
      <c r="D67" s="54">
        <f>IF(F66+SUM(E$17:E66)=D$10,F66,D$10-SUM(E$17:E66))</f>
        <v>0</v>
      </c>
      <c r="E67" s="377">
        <f>IF(+I14&lt;F66,I14,D67)</f>
        <v>0</v>
      </c>
      <c r="F67" s="54">
        <f t="shared" si="36"/>
        <v>0</v>
      </c>
      <c r="G67" s="388">
        <f t="shared" si="33"/>
        <v>0</v>
      </c>
      <c r="H67" s="359">
        <f t="shared" si="34"/>
        <v>0</v>
      </c>
      <c r="I67" s="51">
        <f t="shared" si="37"/>
        <v>0</v>
      </c>
      <c r="J67" s="51"/>
      <c r="K67" s="112"/>
      <c r="L67" s="53">
        <f t="shared" si="38"/>
        <v>0</v>
      </c>
      <c r="M67" s="112"/>
      <c r="N67" s="53">
        <f t="shared" si="39"/>
        <v>0</v>
      </c>
      <c r="O67" s="53">
        <f t="shared" si="40"/>
        <v>0</v>
      </c>
      <c r="P67" s="1"/>
      <c r="R67" s="1"/>
      <c r="S67" s="1"/>
      <c r="T67" s="1"/>
      <c r="U67" s="1"/>
    </row>
    <row r="68" spans="2:21">
      <c r="B68" t="str">
        <f t="shared" si="35"/>
        <v/>
      </c>
      <c r="C68" s="49">
        <f>IF(D11="","-",+C67+1)</f>
        <v>2064</v>
      </c>
      <c r="D68" s="54">
        <f>IF(F67+SUM(E$17:E67)=D$10,F67,D$10-SUM(E$17:E67))</f>
        <v>0</v>
      </c>
      <c r="E68" s="377">
        <f>IF(+I14&lt;F67,I14,D68)</f>
        <v>0</v>
      </c>
      <c r="F68" s="54">
        <f t="shared" si="36"/>
        <v>0</v>
      </c>
      <c r="G68" s="388">
        <f t="shared" si="33"/>
        <v>0</v>
      </c>
      <c r="H68" s="359">
        <f t="shared" si="34"/>
        <v>0</v>
      </c>
      <c r="I68" s="51">
        <f t="shared" si="37"/>
        <v>0</v>
      </c>
      <c r="J68" s="51"/>
      <c r="K68" s="112"/>
      <c r="L68" s="53">
        <f t="shared" si="38"/>
        <v>0</v>
      </c>
      <c r="M68" s="112"/>
      <c r="N68" s="53">
        <f t="shared" si="39"/>
        <v>0</v>
      </c>
      <c r="O68" s="53">
        <f t="shared" si="40"/>
        <v>0</v>
      </c>
      <c r="P68" s="1"/>
      <c r="R68" s="1"/>
      <c r="S68" s="1"/>
      <c r="T68" s="1"/>
      <c r="U68" s="1"/>
    </row>
    <row r="69" spans="2:21">
      <c r="B69" t="str">
        <f t="shared" si="35"/>
        <v/>
      </c>
      <c r="C69" s="49">
        <f>IF(D11="","-",+C68+1)</f>
        <v>2065</v>
      </c>
      <c r="D69" s="54">
        <f>IF(F68+SUM(E$17:E68)=D$10,F68,D$10-SUM(E$17:E68))</f>
        <v>0</v>
      </c>
      <c r="E69" s="377">
        <f>IF(+I14&lt;F68,I14,D69)</f>
        <v>0</v>
      </c>
      <c r="F69" s="54">
        <f t="shared" si="36"/>
        <v>0</v>
      </c>
      <c r="G69" s="388">
        <f t="shared" si="33"/>
        <v>0</v>
      </c>
      <c r="H69" s="359">
        <f t="shared" si="34"/>
        <v>0</v>
      </c>
      <c r="I69" s="51">
        <f t="shared" si="37"/>
        <v>0</v>
      </c>
      <c r="J69" s="51"/>
      <c r="K69" s="112"/>
      <c r="L69" s="53">
        <f t="shared" si="38"/>
        <v>0</v>
      </c>
      <c r="M69" s="112"/>
      <c r="N69" s="53">
        <f t="shared" si="39"/>
        <v>0</v>
      </c>
      <c r="O69" s="53">
        <f t="shared" si="40"/>
        <v>0</v>
      </c>
      <c r="P69" s="1"/>
      <c r="R69" s="1"/>
      <c r="S69" s="1"/>
      <c r="T69" s="1"/>
      <c r="U69" s="1"/>
    </row>
    <row r="70" spans="2:21">
      <c r="B70" t="str">
        <f t="shared" si="35"/>
        <v/>
      </c>
      <c r="C70" s="49">
        <f>IF(D11="","-",+C69+1)</f>
        <v>2066</v>
      </c>
      <c r="D70" s="54">
        <f>IF(F69+SUM(E$17:E69)=D$10,F69,D$10-SUM(E$17:E69))</f>
        <v>0</v>
      </c>
      <c r="E70" s="377">
        <f>IF(+I14&lt;F69,I14,D70)</f>
        <v>0</v>
      </c>
      <c r="F70" s="54">
        <f t="shared" si="36"/>
        <v>0</v>
      </c>
      <c r="G70" s="388">
        <f t="shared" si="33"/>
        <v>0</v>
      </c>
      <c r="H70" s="359">
        <f t="shared" si="34"/>
        <v>0</v>
      </c>
      <c r="I70" s="51">
        <f t="shared" si="37"/>
        <v>0</v>
      </c>
      <c r="J70" s="51"/>
      <c r="K70" s="112"/>
      <c r="L70" s="53">
        <f t="shared" si="38"/>
        <v>0</v>
      </c>
      <c r="M70" s="112"/>
      <c r="N70" s="53">
        <f t="shared" si="39"/>
        <v>0</v>
      </c>
      <c r="O70" s="53">
        <f t="shared" si="40"/>
        <v>0</v>
      </c>
      <c r="P70" s="1"/>
      <c r="R70" s="1"/>
      <c r="S70" s="1"/>
      <c r="T70" s="1"/>
      <c r="U70" s="1"/>
    </row>
    <row r="71" spans="2:21">
      <c r="B71" t="str">
        <f t="shared" si="35"/>
        <v/>
      </c>
      <c r="C71" s="49">
        <f>IF(D11="","-",+C70+1)</f>
        <v>2067</v>
      </c>
      <c r="D71" s="54">
        <f>IF(F70+SUM(E$17:E70)=D$10,F70,D$10-SUM(E$17:E70))</f>
        <v>0</v>
      </c>
      <c r="E71" s="377">
        <f>IF(+I14&lt;F70,I14,D71)</f>
        <v>0</v>
      </c>
      <c r="F71" s="54">
        <f t="shared" si="36"/>
        <v>0</v>
      </c>
      <c r="G71" s="388">
        <f t="shared" si="33"/>
        <v>0</v>
      </c>
      <c r="H71" s="359">
        <f t="shared" si="34"/>
        <v>0</v>
      </c>
      <c r="I71" s="51">
        <f t="shared" si="37"/>
        <v>0</v>
      </c>
      <c r="J71" s="51"/>
      <c r="K71" s="112"/>
      <c r="L71" s="53">
        <f t="shared" si="38"/>
        <v>0</v>
      </c>
      <c r="M71" s="112"/>
      <c r="N71" s="53">
        <f t="shared" si="39"/>
        <v>0</v>
      </c>
      <c r="O71" s="53">
        <f t="shared" si="40"/>
        <v>0</v>
      </c>
      <c r="P71" s="1"/>
      <c r="R71" s="1"/>
      <c r="S71" s="1"/>
      <c r="T71" s="1"/>
      <c r="U71" s="1"/>
    </row>
    <row r="72" spans="2:21">
      <c r="B72" t="str">
        <f t="shared" si="35"/>
        <v/>
      </c>
      <c r="C72" s="49">
        <f>IF(D11="","-",+C71+1)</f>
        <v>2068</v>
      </c>
      <c r="D72" s="54">
        <f>IF(F71+SUM(E$17:E71)=D$10,F71,D$10-SUM(E$17:E71))</f>
        <v>0</v>
      </c>
      <c r="E72" s="377">
        <f>IF(+I14&lt;F71,I14,D72)</f>
        <v>0</v>
      </c>
      <c r="F72" s="54">
        <f t="shared" si="36"/>
        <v>0</v>
      </c>
      <c r="G72" s="388">
        <f t="shared" si="33"/>
        <v>0</v>
      </c>
      <c r="H72" s="359">
        <f t="shared" si="34"/>
        <v>0</v>
      </c>
      <c r="I72" s="51">
        <f t="shared" si="37"/>
        <v>0</v>
      </c>
      <c r="J72" s="51"/>
      <c r="K72" s="112"/>
      <c r="L72" s="53">
        <f t="shared" si="38"/>
        <v>0</v>
      </c>
      <c r="M72" s="112"/>
      <c r="N72" s="53">
        <f t="shared" si="39"/>
        <v>0</v>
      </c>
      <c r="O72" s="53">
        <f t="shared" si="40"/>
        <v>0</v>
      </c>
      <c r="P72" s="1"/>
      <c r="R72" s="1"/>
      <c r="S72" s="1"/>
      <c r="T72" s="1"/>
      <c r="U72" s="1"/>
    </row>
    <row r="73" spans="2:21" ht="13.5" thickBot="1">
      <c r="B73" t="str">
        <f t="shared" si="35"/>
        <v/>
      </c>
      <c r="C73" s="58">
        <f>IF(D11="","-",+C72+1)</f>
        <v>2069</v>
      </c>
      <c r="D73" s="59">
        <f>IF(F72+SUM(E$17:E72)=D$10,F72,D$10-SUM(E$17:E72))</f>
        <v>0</v>
      </c>
      <c r="E73" s="389">
        <f>IF(+I14&lt;F72,I14,D73)</f>
        <v>0</v>
      </c>
      <c r="F73" s="59">
        <f t="shared" si="36"/>
        <v>0</v>
      </c>
      <c r="G73" s="390">
        <f t="shared" si="33"/>
        <v>0</v>
      </c>
      <c r="H73" s="357">
        <f t="shared" si="34"/>
        <v>0</v>
      </c>
      <c r="I73" s="62">
        <f t="shared" si="37"/>
        <v>0</v>
      </c>
      <c r="J73" s="51"/>
      <c r="K73" s="113"/>
      <c r="L73" s="63">
        <f t="shared" si="38"/>
        <v>0</v>
      </c>
      <c r="M73" s="113"/>
      <c r="N73" s="63">
        <f t="shared" si="39"/>
        <v>0</v>
      </c>
      <c r="O73" s="63">
        <f t="shared" si="40"/>
        <v>0</v>
      </c>
      <c r="P73" s="1"/>
      <c r="R73" s="1"/>
      <c r="S73" s="1"/>
      <c r="T73" s="1"/>
      <c r="U73" s="1"/>
    </row>
    <row r="74" spans="2:21">
      <c r="C74" s="11" t="s">
        <v>75</v>
      </c>
      <c r="D74" s="242"/>
      <c r="E74" s="242">
        <f>SUM(E17:E73)</f>
        <v>28914236</v>
      </c>
      <c r="F74" s="242"/>
      <c r="G74" s="242">
        <f>SUM(G17:G73)</f>
        <v>84827137.650333643</v>
      </c>
      <c r="H74" s="242">
        <f>SUM(H17:H73)</f>
        <v>84827137.650333643</v>
      </c>
      <c r="I74" s="242">
        <f>SUM(I17:I73)</f>
        <v>0</v>
      </c>
      <c r="J74" s="242"/>
      <c r="K74" s="242"/>
      <c r="L74" s="242"/>
      <c r="M74" s="242"/>
      <c r="N74" s="242"/>
      <c r="O74" s="1"/>
      <c r="P74" s="1"/>
      <c r="R74" s="1"/>
      <c r="S74" s="1"/>
      <c r="T74" s="1"/>
      <c r="U74" s="1"/>
    </row>
    <row r="75" spans="2:21">
      <c r="D75" s="2"/>
      <c r="E75" s="1"/>
      <c r="F75" s="1"/>
      <c r="G75" s="1"/>
      <c r="H75" s="260"/>
      <c r="I75" s="260"/>
      <c r="J75" s="242"/>
      <c r="K75" s="260"/>
      <c r="L75" s="260"/>
      <c r="M75" s="260"/>
      <c r="N75" s="260"/>
      <c r="O75" s="1"/>
      <c r="P75" s="1"/>
      <c r="R75" s="1"/>
      <c r="S75" s="1"/>
      <c r="T75" s="1"/>
      <c r="U75" s="1"/>
    </row>
    <row r="76" spans="2:21">
      <c r="C76" s="29" t="s">
        <v>95</v>
      </c>
      <c r="D76" s="2"/>
      <c r="E76" s="1"/>
      <c r="F76" s="1"/>
      <c r="G76" s="1"/>
      <c r="H76" s="260"/>
      <c r="I76" s="260"/>
      <c r="J76" s="242"/>
      <c r="K76" s="260"/>
      <c r="L76" s="260"/>
      <c r="M76" s="260"/>
      <c r="N76" s="260"/>
      <c r="O76" s="1"/>
      <c r="P76" s="1"/>
      <c r="R76" s="1"/>
      <c r="S76" s="1"/>
      <c r="T76" s="1"/>
      <c r="U76" s="1"/>
    </row>
    <row r="77" spans="2:21">
      <c r="C77" s="25" t="s">
        <v>76</v>
      </c>
      <c r="D77" s="2"/>
      <c r="E77" s="1"/>
      <c r="F77" s="1"/>
      <c r="G77" s="1"/>
      <c r="H77" s="260"/>
      <c r="I77" s="260"/>
      <c r="J77" s="242"/>
      <c r="K77" s="260"/>
      <c r="L77" s="260"/>
      <c r="M77" s="260"/>
      <c r="N77" s="260"/>
      <c r="O77" s="1"/>
      <c r="P77" s="1"/>
      <c r="R77" s="1"/>
      <c r="S77" s="1"/>
      <c r="T77" s="1"/>
      <c r="U77" s="1"/>
    </row>
    <row r="78" spans="2:21">
      <c r="C78" s="25" t="s">
        <v>77</v>
      </c>
      <c r="D78" s="11"/>
      <c r="E78" s="11"/>
      <c r="F78" s="11"/>
      <c r="G78" s="242"/>
      <c r="H78" s="242"/>
      <c r="I78" s="64"/>
      <c r="J78" s="64"/>
      <c r="K78" s="64"/>
      <c r="L78" s="64"/>
      <c r="M78" s="64"/>
      <c r="N78" s="64"/>
      <c r="O78" s="1"/>
      <c r="P78" s="1"/>
      <c r="R78" s="1"/>
      <c r="S78" s="1"/>
      <c r="T78" s="1"/>
      <c r="U78" s="1"/>
    </row>
    <row r="79" spans="2:21">
      <c r="C79" s="25"/>
      <c r="D79" s="11"/>
      <c r="E79" s="11"/>
      <c r="F79" s="11"/>
      <c r="G79" s="242"/>
      <c r="H79" s="242"/>
      <c r="I79" s="64"/>
      <c r="J79" s="64"/>
      <c r="K79" s="64"/>
      <c r="L79" s="64"/>
      <c r="M79" s="64"/>
      <c r="N79" s="64"/>
      <c r="O79" s="1"/>
      <c r="P79" s="1"/>
      <c r="R79" s="1"/>
      <c r="S79" s="1"/>
      <c r="T79" s="1"/>
      <c r="U79" s="1"/>
    </row>
    <row r="80" spans="2:21">
      <c r="B80" s="1"/>
      <c r="C80" s="1"/>
      <c r="D80" s="2"/>
      <c r="E80" s="1"/>
      <c r="F80" s="11"/>
      <c r="G80" s="1"/>
      <c r="H80" s="260"/>
      <c r="I80" s="1"/>
      <c r="J80" s="1"/>
      <c r="K80" s="1"/>
      <c r="L80" s="1"/>
      <c r="M80" s="1"/>
      <c r="N80" s="1"/>
      <c r="O80" s="1"/>
      <c r="P80" s="1"/>
      <c r="R80" s="1"/>
      <c r="S80" s="1"/>
      <c r="T80" s="1"/>
      <c r="U80" s="1"/>
    </row>
    <row r="81" spans="1:21" ht="18">
      <c r="B81" s="1"/>
      <c r="C81" s="92"/>
      <c r="D81" s="2"/>
      <c r="E81" s="1"/>
      <c r="F81" s="11"/>
      <c r="G81" s="1"/>
      <c r="H81" s="260"/>
      <c r="I81" s="1"/>
      <c r="J81" s="1"/>
      <c r="K81" s="1"/>
      <c r="L81" s="1"/>
      <c r="M81" s="1"/>
      <c r="N81" s="1"/>
      <c r="P81" s="94" t="s">
        <v>128</v>
      </c>
      <c r="R81" s="1"/>
      <c r="S81" s="1"/>
      <c r="T81" s="1"/>
      <c r="U81" s="1"/>
    </row>
    <row r="82" spans="1:21">
      <c r="B82" s="1"/>
      <c r="C82" s="1"/>
      <c r="D82" s="2"/>
      <c r="E82" s="1"/>
      <c r="F82" s="11"/>
      <c r="G82" s="1"/>
      <c r="H82" s="260"/>
      <c r="I82" s="1"/>
      <c r="J82" s="1"/>
      <c r="K82" s="1"/>
      <c r="L82" s="1"/>
      <c r="M82" s="1"/>
      <c r="N82" s="1"/>
      <c r="O82" s="1"/>
      <c r="P82" s="1"/>
      <c r="R82" s="1"/>
      <c r="S82" s="1"/>
      <c r="T82" s="1"/>
      <c r="U82" s="1"/>
    </row>
    <row r="83" spans="1:21">
      <c r="B83" s="1"/>
      <c r="C83" s="1"/>
      <c r="D83" s="2"/>
      <c r="E83" s="1"/>
      <c r="F83" s="11"/>
      <c r="G83" s="1"/>
      <c r="H83" s="260"/>
      <c r="I83" s="1"/>
      <c r="J83" s="1"/>
      <c r="K83" s="1"/>
      <c r="L83" s="1"/>
      <c r="M83" s="1"/>
      <c r="N83" s="1"/>
      <c r="O83" s="1"/>
      <c r="P83" s="1"/>
      <c r="Q83" s="1"/>
      <c r="R83" s="1"/>
      <c r="S83" s="1"/>
      <c r="T83" s="1"/>
      <c r="U83" s="1"/>
    </row>
    <row r="84" spans="1:21" ht="20.25">
      <c r="A84" s="93" t="s">
        <v>190</v>
      </c>
      <c r="B84" s="1"/>
      <c r="C84" s="1"/>
      <c r="D84" s="2"/>
      <c r="E84" s="1"/>
      <c r="F84" s="7"/>
      <c r="G84" s="7"/>
      <c r="H84" s="1"/>
      <c r="I84" s="260"/>
      <c r="L84" s="12"/>
      <c r="M84" s="12"/>
      <c r="P84" s="12" t="str">
        <f ca="1">P1</f>
        <v>OKT Project 6 of 26</v>
      </c>
      <c r="Q84" s="1"/>
      <c r="R84" s="1"/>
      <c r="S84" s="1"/>
      <c r="T84" s="1"/>
      <c r="U84" s="1"/>
    </row>
    <row r="85" spans="1:21" ht="18">
      <c r="B85" s="1"/>
      <c r="C85" s="1"/>
      <c r="D85" s="2"/>
      <c r="E85" s="1"/>
      <c r="F85" s="1"/>
      <c r="G85" s="1"/>
      <c r="H85" s="1"/>
      <c r="I85" s="260"/>
      <c r="J85" s="1"/>
      <c r="K85" s="1"/>
      <c r="L85" s="1"/>
      <c r="M85" s="1"/>
      <c r="P85" s="99" t="s">
        <v>132</v>
      </c>
      <c r="Q85" s="1"/>
      <c r="R85" s="1"/>
      <c r="S85" s="1"/>
      <c r="T85" s="1"/>
      <c r="U85" s="1"/>
    </row>
    <row r="86" spans="1:21" ht="18.75" thickBot="1">
      <c r="B86" s="4" t="s">
        <v>42</v>
      </c>
      <c r="C86" s="66" t="s">
        <v>81</v>
      </c>
      <c r="D86" s="2"/>
      <c r="E86" s="1"/>
      <c r="F86" s="1"/>
      <c r="G86" s="1"/>
      <c r="H86" s="1"/>
      <c r="I86" s="260"/>
      <c r="J86" s="260"/>
      <c r="K86" s="242"/>
      <c r="L86" s="260"/>
      <c r="M86" s="260"/>
      <c r="N86" s="260"/>
      <c r="O86" s="242"/>
      <c r="P86" s="1"/>
      <c r="Q86" s="1"/>
      <c r="R86" s="1"/>
      <c r="S86" s="1"/>
      <c r="T86" s="1"/>
      <c r="U86" s="1"/>
    </row>
    <row r="87" spans="1:21" ht="15.75" thickBot="1">
      <c r="C87" s="250"/>
      <c r="D87" s="2"/>
      <c r="E87" s="1"/>
      <c r="F87" s="1"/>
      <c r="G87" s="1"/>
      <c r="H87" s="1"/>
      <c r="I87" s="260"/>
      <c r="J87" s="260"/>
      <c r="K87" s="242"/>
      <c r="L87" s="100">
        <f>+J93</f>
        <v>2025</v>
      </c>
      <c r="M87" s="392" t="s">
        <v>9</v>
      </c>
      <c r="N87" s="393" t="s">
        <v>134</v>
      </c>
      <c r="O87" s="394" t="s">
        <v>11</v>
      </c>
      <c r="P87" s="1"/>
      <c r="Q87" s="1"/>
      <c r="R87" s="1"/>
      <c r="S87" s="1"/>
      <c r="T87" s="1"/>
      <c r="U87" s="1"/>
    </row>
    <row r="88" spans="1:21" ht="15">
      <c r="C88" s="90" t="s">
        <v>44</v>
      </c>
      <c r="D88" s="2"/>
      <c r="E88" s="1"/>
      <c r="F88" s="1"/>
      <c r="G88" s="1"/>
      <c r="H88" s="349"/>
      <c r="I88" s="1" t="s">
        <v>45</v>
      </c>
      <c r="J88" s="1"/>
      <c r="K88" s="104"/>
      <c r="L88" s="395" t="s">
        <v>253</v>
      </c>
      <c r="M88" s="396">
        <f>IF(J93&lt;D11,0,VLOOKUP(J93,C17:O73,9))</f>
        <v>3267411.8850041311</v>
      </c>
      <c r="N88" s="396">
        <f>IF(J93&lt;D11,0,VLOOKUP(J93,C17:O73,11))</f>
        <v>3267411.8850041311</v>
      </c>
      <c r="O88" s="68">
        <f>+N88-M88</f>
        <v>0</v>
      </c>
      <c r="P88" s="1"/>
      <c r="Q88" s="1"/>
      <c r="R88" s="1"/>
      <c r="S88" s="1"/>
      <c r="T88" s="1"/>
      <c r="U88" s="1"/>
    </row>
    <row r="89" spans="1:21" ht="15.75">
      <c r="C89" s="6"/>
      <c r="D89" s="2"/>
      <c r="E89" s="1"/>
      <c r="F89" s="1"/>
      <c r="G89" s="1"/>
      <c r="H89" s="1"/>
      <c r="I89" s="351"/>
      <c r="J89" s="351"/>
      <c r="K89" s="397"/>
      <c r="L89" s="398" t="s">
        <v>254</v>
      </c>
      <c r="M89" s="399">
        <f>IF(J93&lt;D11,0,VLOOKUP(J93,C100:P155,6))</f>
        <v>2882362.8310243376</v>
      </c>
      <c r="N89" s="399">
        <f>IF(J93&lt;D11,0,VLOOKUP(J93,C100:P155,7))</f>
        <v>2882362.8310243376</v>
      </c>
      <c r="O89" s="70">
        <f>+N89-M89</f>
        <v>0</v>
      </c>
      <c r="P89" s="1"/>
      <c r="Q89" s="1"/>
      <c r="R89" s="1"/>
      <c r="S89" s="1"/>
      <c r="T89" s="1"/>
      <c r="U89" s="1"/>
    </row>
    <row r="90" spans="1:21" ht="13.5" thickBot="1">
      <c r="C90" s="25" t="s">
        <v>82</v>
      </c>
      <c r="D90" s="96" t="str">
        <f>+D7</f>
        <v xml:space="preserve">Canadian River - McAlester City 138 kV Line Conversion </v>
      </c>
      <c r="E90" s="1"/>
      <c r="F90" s="1"/>
      <c r="G90" s="1"/>
      <c r="H90" s="1"/>
      <c r="I90" s="260"/>
      <c r="J90" s="260"/>
      <c r="K90" s="400"/>
      <c r="L90" s="109" t="s">
        <v>135</v>
      </c>
      <c r="M90" s="401">
        <f>+M89-M88</f>
        <v>-385049.05397979356</v>
      </c>
      <c r="N90" s="401">
        <f>+N89-N88</f>
        <v>-385049.05397979356</v>
      </c>
      <c r="O90" s="402">
        <f>+O89-O88</f>
        <v>0</v>
      </c>
      <c r="P90" s="1"/>
      <c r="Q90" s="1"/>
      <c r="R90" s="1"/>
      <c r="S90" s="1"/>
      <c r="T90" s="1"/>
      <c r="U90" s="1"/>
    </row>
    <row r="91" spans="1:21" ht="13.5" thickBot="1">
      <c r="C91" s="29"/>
      <c r="D91" s="65" t="str">
        <f>IF(D8="","",D8)</f>
        <v/>
      </c>
      <c r="E91" s="11"/>
      <c r="F91" s="11"/>
      <c r="G91" s="11"/>
      <c r="H91" s="10"/>
      <c r="I91" s="260"/>
      <c r="J91" s="260"/>
      <c r="K91" s="242"/>
      <c r="L91" s="260"/>
      <c r="M91" s="260"/>
      <c r="N91" s="260"/>
      <c r="O91" s="242"/>
      <c r="P91" s="1"/>
      <c r="Q91" s="1"/>
      <c r="R91" s="1"/>
      <c r="S91" s="1"/>
      <c r="T91" s="1"/>
      <c r="U91" s="1"/>
    </row>
    <row r="92" spans="1:21" ht="13.5" thickBot="1">
      <c r="C92" s="74" t="s">
        <v>83</v>
      </c>
      <c r="D92" s="88" t="str">
        <f>+D9</f>
        <v>TP2009095</v>
      </c>
      <c r="E92" s="75" t="s">
        <v>312</v>
      </c>
      <c r="F92" s="527">
        <f>F9</f>
        <v>767</v>
      </c>
      <c r="G92" s="75"/>
      <c r="H92" s="75"/>
      <c r="I92" s="75"/>
      <c r="J92" s="75"/>
      <c r="Q92" s="1"/>
      <c r="R92" s="1"/>
      <c r="S92" s="1"/>
      <c r="T92" s="1"/>
      <c r="U92" s="1"/>
    </row>
    <row r="93" spans="1:21">
      <c r="C93" s="34" t="s">
        <v>49</v>
      </c>
      <c r="D93" s="424">
        <v>28914236</v>
      </c>
      <c r="E93" s="1" t="s">
        <v>84</v>
      </c>
      <c r="H93" s="2"/>
      <c r="I93" s="2"/>
      <c r="J93" s="36">
        <f>+'OKT.WS.G.BPU.ATRR.True-up'!M16</f>
        <v>2025</v>
      </c>
      <c r="K93" s="33"/>
      <c r="L93" s="242" t="s">
        <v>85</v>
      </c>
      <c r="P93" s="1"/>
      <c r="Q93" s="1"/>
      <c r="R93" s="1"/>
      <c r="S93" s="1"/>
      <c r="T93" s="1"/>
      <c r="U93" s="1"/>
    </row>
    <row r="94" spans="1:21">
      <c r="C94" s="34" t="s">
        <v>52</v>
      </c>
      <c r="D94" s="85">
        <f>D11</f>
        <v>2013</v>
      </c>
      <c r="E94" s="34" t="s">
        <v>53</v>
      </c>
      <c r="F94" s="2"/>
      <c r="G94" s="2"/>
      <c r="J94" s="38">
        <f>IF(H88="",0,'OKT.WS.G.BPU.ATRR.True-up'!$F$13)</f>
        <v>0</v>
      </c>
      <c r="K94" s="39"/>
      <c r="L94" t="str">
        <f>"          INPUT TRUE-UP ARR (WITH &amp; WITHOUT INCENTIVES) FROM EACH PRIOR YEAR"</f>
        <v xml:space="preserve">          INPUT TRUE-UP ARR (WITH &amp; WITHOUT INCENTIVES) FROM EACH PRIOR YEAR</v>
      </c>
      <c r="P94" s="1"/>
      <c r="Q94" s="1"/>
      <c r="R94" s="1"/>
      <c r="S94" s="1"/>
      <c r="T94" s="1"/>
      <c r="U94" s="1"/>
    </row>
    <row r="95" spans="1:21">
      <c r="C95" s="34" t="s">
        <v>54</v>
      </c>
      <c r="D95" s="38">
        <f>D12</f>
        <v>8</v>
      </c>
      <c r="E95" s="34" t="s">
        <v>55</v>
      </c>
      <c r="F95" s="2"/>
      <c r="G95" s="2"/>
      <c r="J95" s="40">
        <f>'OKT.WS.G.BPU.ATRR.True-up'!$F$81</f>
        <v>0.11246496061127743</v>
      </c>
      <c r="K95" s="7"/>
      <c r="L95" t="s">
        <v>86</v>
      </c>
      <c r="P95" s="1"/>
      <c r="Q95" s="1"/>
      <c r="R95" s="1"/>
      <c r="S95" s="1"/>
      <c r="T95" s="1"/>
      <c r="U95" s="1"/>
    </row>
    <row r="96" spans="1:21">
      <c r="C96" s="34" t="s">
        <v>57</v>
      </c>
      <c r="D96" s="38">
        <f>'OKT.WS.G.BPU.ATRR.True-up'!F$93</f>
        <v>32</v>
      </c>
      <c r="E96" s="34" t="s">
        <v>58</v>
      </c>
      <c r="F96" s="2"/>
      <c r="G96" s="2"/>
      <c r="J96" s="40">
        <f>IF(H88="",J95,'OKT.WS.G.BPU.ATRR.True-up'!$F$80)</f>
        <v>0.11246496061127743</v>
      </c>
      <c r="K96" s="7"/>
      <c r="L96" s="242" t="s">
        <v>59</v>
      </c>
      <c r="M96" s="7"/>
      <c r="N96" s="7"/>
      <c r="O96" s="7"/>
      <c r="P96" s="1"/>
      <c r="Q96" s="1"/>
      <c r="R96" s="1"/>
      <c r="S96" s="1"/>
      <c r="T96" s="1"/>
      <c r="U96" s="1"/>
    </row>
    <row r="97" spans="1:21" ht="13.5" thickBot="1">
      <c r="C97" s="34" t="s">
        <v>60</v>
      </c>
      <c r="D97" s="86" t="str">
        <f>+D14</f>
        <v>No</v>
      </c>
      <c r="E97" s="71" t="s">
        <v>62</v>
      </c>
      <c r="F97" s="76"/>
      <c r="G97" s="76"/>
      <c r="H97" s="77"/>
      <c r="I97" s="77"/>
      <c r="J97" s="357">
        <f>IF(D93=0,0,D93/D96)</f>
        <v>903569.875</v>
      </c>
      <c r="K97" s="242"/>
      <c r="L97" s="242"/>
      <c r="M97" s="242"/>
      <c r="N97" s="242"/>
      <c r="O97" s="242"/>
      <c r="P97" s="1"/>
      <c r="Q97" s="1"/>
      <c r="R97" s="1"/>
      <c r="S97" s="1"/>
      <c r="T97" s="1"/>
      <c r="U97" s="1"/>
    </row>
    <row r="98" spans="1:21" ht="38.25">
      <c r="A98" s="5"/>
      <c r="B98" s="5"/>
      <c r="C98" s="78" t="s">
        <v>49</v>
      </c>
      <c r="D98" s="404" t="s">
        <v>193</v>
      </c>
      <c r="E98" s="365" t="s">
        <v>63</v>
      </c>
      <c r="F98" s="365" t="s">
        <v>64</v>
      </c>
      <c r="G98" s="361" t="s">
        <v>87</v>
      </c>
      <c r="H98" s="362" t="s">
        <v>251</v>
      </c>
      <c r="I98" s="363" t="s">
        <v>252</v>
      </c>
      <c r="J98" s="78" t="s">
        <v>88</v>
      </c>
      <c r="K98" s="79"/>
      <c r="L98" s="360" t="s">
        <v>177</v>
      </c>
      <c r="M98" s="365" t="s">
        <v>89</v>
      </c>
      <c r="N98" s="360" t="s">
        <v>177</v>
      </c>
      <c r="O98" s="365" t="s">
        <v>89</v>
      </c>
      <c r="P98" s="365" t="s">
        <v>67</v>
      </c>
      <c r="Q98" s="1"/>
      <c r="R98" s="1"/>
      <c r="S98" s="1"/>
      <c r="T98" s="1"/>
      <c r="U98" s="1"/>
    </row>
    <row r="99" spans="1:21" ht="13.5" thickBot="1">
      <c r="C99" s="46" t="s">
        <v>68</v>
      </c>
      <c r="D99" s="80" t="s">
        <v>69</v>
      </c>
      <c r="E99" s="46" t="s">
        <v>70</v>
      </c>
      <c r="F99" s="46" t="s">
        <v>69</v>
      </c>
      <c r="G99" s="46" t="s">
        <v>69</v>
      </c>
      <c r="H99" s="405" t="s">
        <v>71</v>
      </c>
      <c r="I99" s="367" t="s">
        <v>72</v>
      </c>
      <c r="J99" s="46" t="s">
        <v>93</v>
      </c>
      <c r="K99" s="44"/>
      <c r="L99" s="368" t="s">
        <v>74</v>
      </c>
      <c r="M99" s="368" t="s">
        <v>74</v>
      </c>
      <c r="N99" s="368" t="s">
        <v>94</v>
      </c>
      <c r="O99" s="368" t="s">
        <v>94</v>
      </c>
      <c r="P99" s="368" t="s">
        <v>94</v>
      </c>
      <c r="Q99" s="1"/>
      <c r="R99" s="1"/>
      <c r="S99" s="1"/>
      <c r="T99" s="1"/>
      <c r="U99" s="1"/>
    </row>
    <row r="100" spans="1:21">
      <c r="B100" t="str">
        <f t="shared" ref="B100:B131" si="41">IF(D100=F99,"","IU")</f>
        <v>IU</v>
      </c>
      <c r="C100" s="49">
        <f>IF(D94= "","-",D94)</f>
        <v>2013</v>
      </c>
      <c r="D100" s="371">
        <v>0</v>
      </c>
      <c r="E100" s="373">
        <v>85919.706896551725</v>
      </c>
      <c r="F100" s="375">
        <v>9880766.293103449</v>
      </c>
      <c r="G100" s="406">
        <v>4940383.1465517245</v>
      </c>
      <c r="H100" s="406">
        <v>586624.79406989401</v>
      </c>
      <c r="I100" s="406">
        <v>586624.79406989401</v>
      </c>
      <c r="J100" s="53">
        <v>0</v>
      </c>
      <c r="K100" s="53"/>
      <c r="L100" s="114">
        <f t="shared" ref="L100:L105" si="42">H100</f>
        <v>586624.79406989401</v>
      </c>
      <c r="M100" s="52">
        <f t="shared" ref="M100:M105" si="43">IF(L100&lt;&gt;0,+H100-L100,0)</f>
        <v>0</v>
      </c>
      <c r="N100" s="114">
        <f t="shared" ref="N100:N105" si="44">I100</f>
        <v>586624.79406989401</v>
      </c>
      <c r="O100" s="52">
        <f>IF(N100&lt;&gt;0,+I100-N100,0)</f>
        <v>0</v>
      </c>
      <c r="P100" s="52">
        <f>+O100-M100</f>
        <v>0</v>
      </c>
      <c r="Q100" s="1"/>
      <c r="R100" s="1"/>
      <c r="S100" s="1"/>
      <c r="T100" s="1"/>
      <c r="U100" s="1"/>
    </row>
    <row r="101" spans="1:21">
      <c r="B101" t="str">
        <f t="shared" si="41"/>
        <v>IU</v>
      </c>
      <c r="C101" s="49">
        <f>IF(D94="","-",+C100+1)</f>
        <v>2014</v>
      </c>
      <c r="D101" s="371">
        <v>28596480.293103449</v>
      </c>
      <c r="E101" s="373">
        <v>494524.13793103449</v>
      </c>
      <c r="F101" s="375">
        <v>28101956.155172415</v>
      </c>
      <c r="G101" s="375">
        <v>28349218.224137932</v>
      </c>
      <c r="H101" s="373">
        <v>3716695.0108773164</v>
      </c>
      <c r="I101" s="374">
        <v>3716695.0108773164</v>
      </c>
      <c r="J101" s="53">
        <v>0</v>
      </c>
      <c r="K101" s="53"/>
      <c r="L101" s="376">
        <f t="shared" si="42"/>
        <v>3716695.0108773164</v>
      </c>
      <c r="M101" s="53">
        <f t="shared" si="43"/>
        <v>0</v>
      </c>
      <c r="N101" s="376">
        <f t="shared" si="44"/>
        <v>3716695.0108773164</v>
      </c>
      <c r="O101" s="53">
        <f>IF(N101&lt;&gt;0,+I101-N101,0)</f>
        <v>0</v>
      </c>
      <c r="P101" s="53">
        <f>+O101-M101</f>
        <v>0</v>
      </c>
      <c r="Q101" s="1"/>
      <c r="R101" s="1"/>
      <c r="S101" s="1"/>
      <c r="T101" s="1"/>
      <c r="U101" s="1"/>
    </row>
    <row r="102" spans="1:21">
      <c r="B102" t="str">
        <f t="shared" si="41"/>
        <v>IU</v>
      </c>
      <c r="C102" s="49">
        <f>IF(D94="","-",+C101+1)</f>
        <v>2015</v>
      </c>
      <c r="D102" s="371">
        <v>28333791.895172413</v>
      </c>
      <c r="E102" s="373">
        <v>602379.91125</v>
      </c>
      <c r="F102" s="375">
        <v>27731411.983922414</v>
      </c>
      <c r="G102" s="375">
        <v>28032601.939547412</v>
      </c>
      <c r="H102" s="373">
        <v>3723233.4671503431</v>
      </c>
      <c r="I102" s="374">
        <v>3723233.4671503431</v>
      </c>
      <c r="J102" s="53">
        <v>0</v>
      </c>
      <c r="K102" s="53"/>
      <c r="L102" s="376">
        <f t="shared" si="42"/>
        <v>3723233.4671503431</v>
      </c>
      <c r="M102" s="53">
        <f t="shared" si="43"/>
        <v>0</v>
      </c>
      <c r="N102" s="376">
        <f t="shared" si="44"/>
        <v>3723233.4671503431</v>
      </c>
      <c r="O102" s="53">
        <f t="shared" ref="O102:O131" si="45">IF(N102&lt;&gt;0,+I102-N102,0)</f>
        <v>0</v>
      </c>
      <c r="P102" s="53">
        <f t="shared" ref="P102:P131" si="46">+O102-M102</f>
        <v>0</v>
      </c>
      <c r="Q102" s="1"/>
      <c r="R102" s="1"/>
      <c r="S102" s="1"/>
      <c r="T102" s="1"/>
      <c r="U102" s="1"/>
    </row>
    <row r="103" spans="1:21">
      <c r="B103" t="str">
        <f t="shared" si="41"/>
        <v/>
      </c>
      <c r="C103" s="49">
        <f>IF(D94="","-",+C102+1)</f>
        <v>2016</v>
      </c>
      <c r="D103" s="371">
        <v>27731411.983922414</v>
      </c>
      <c r="E103" s="373">
        <v>566945.79882352939</v>
      </c>
      <c r="F103" s="375">
        <v>27164466.185098886</v>
      </c>
      <c r="G103" s="375">
        <v>27447939.08451065</v>
      </c>
      <c r="H103" s="373">
        <v>3541464.1194634419</v>
      </c>
      <c r="I103" s="374">
        <v>3541464.1194634419</v>
      </c>
      <c r="J103" s="53">
        <f t="shared" ref="J103:J131" si="47">+I103-H103</f>
        <v>0</v>
      </c>
      <c r="K103" s="53"/>
      <c r="L103" s="376">
        <f t="shared" si="42"/>
        <v>3541464.1194634419</v>
      </c>
      <c r="M103" s="53">
        <f t="shared" si="43"/>
        <v>0</v>
      </c>
      <c r="N103" s="376">
        <f t="shared" si="44"/>
        <v>3541464.1194634419</v>
      </c>
      <c r="O103" s="53">
        <f>IF(N103&lt;&gt;0,+I103-N103,0)</f>
        <v>0</v>
      </c>
      <c r="P103" s="53">
        <f>+O103-M103</f>
        <v>0</v>
      </c>
      <c r="Q103" s="1"/>
      <c r="R103" s="1"/>
      <c r="S103" s="1"/>
      <c r="T103" s="1"/>
      <c r="U103" s="1"/>
    </row>
    <row r="104" spans="1:21">
      <c r="B104" t="str">
        <f t="shared" si="41"/>
        <v/>
      </c>
      <c r="C104" s="49">
        <f>IF(D94="","-",+C103+1)</f>
        <v>2017</v>
      </c>
      <c r="D104" s="371">
        <v>27164466.185098886</v>
      </c>
      <c r="E104" s="373">
        <v>722855.89350000001</v>
      </c>
      <c r="F104" s="375">
        <v>26441610.291598886</v>
      </c>
      <c r="G104" s="375">
        <v>26803038.238348886</v>
      </c>
      <c r="H104" s="373">
        <v>3867813.548691513</v>
      </c>
      <c r="I104" s="374">
        <v>3867813.548691513</v>
      </c>
      <c r="J104" s="53">
        <f t="shared" si="47"/>
        <v>0</v>
      </c>
      <c r="K104" s="53"/>
      <c r="L104" s="376">
        <f t="shared" si="42"/>
        <v>3867813.548691513</v>
      </c>
      <c r="M104" s="53">
        <f t="shared" si="43"/>
        <v>0</v>
      </c>
      <c r="N104" s="376">
        <f t="shared" si="44"/>
        <v>3867813.548691513</v>
      </c>
      <c r="O104" s="53">
        <f>IF(N104&lt;&gt;0,+I104-N104,0)</f>
        <v>0</v>
      </c>
      <c r="P104" s="53">
        <f>+O104-M104</f>
        <v>0</v>
      </c>
      <c r="Q104" s="1"/>
      <c r="R104" s="1"/>
      <c r="S104" s="1"/>
      <c r="T104" s="1"/>
      <c r="U104" s="1"/>
    </row>
    <row r="105" spans="1:21">
      <c r="B105" t="str">
        <f t="shared" si="41"/>
        <v/>
      </c>
      <c r="C105" s="49">
        <f>IF(D94="","-",+C104+1)</f>
        <v>2018</v>
      </c>
      <c r="D105" s="371">
        <v>26441610.291598886</v>
      </c>
      <c r="E105" s="373">
        <v>803173.21499999997</v>
      </c>
      <c r="F105" s="375">
        <v>25638437.076598886</v>
      </c>
      <c r="G105" s="375">
        <v>26040023.684098884</v>
      </c>
      <c r="H105" s="373">
        <v>3552021.8896915987</v>
      </c>
      <c r="I105" s="374">
        <v>3552021.8896915987</v>
      </c>
      <c r="J105" s="53">
        <f t="shared" si="47"/>
        <v>0</v>
      </c>
      <c r="K105" s="53"/>
      <c r="L105" s="376">
        <f t="shared" si="42"/>
        <v>3552021.8896915987</v>
      </c>
      <c r="M105" s="53">
        <f t="shared" si="43"/>
        <v>0</v>
      </c>
      <c r="N105" s="376">
        <f t="shared" si="44"/>
        <v>3552021.8896915987</v>
      </c>
      <c r="O105" s="53">
        <f>IF(N105&lt;&gt;0,+I105-N105,0)</f>
        <v>0</v>
      </c>
      <c r="P105" s="53">
        <f>+O105-M105</f>
        <v>0</v>
      </c>
      <c r="Q105" s="1"/>
      <c r="R105" s="1"/>
      <c r="S105" s="1"/>
      <c r="T105" s="1"/>
      <c r="U105" s="1"/>
    </row>
    <row r="106" spans="1:21">
      <c r="B106" t="str">
        <f t="shared" si="41"/>
        <v/>
      </c>
      <c r="C106" s="49">
        <f>IF(D94="","-",+C105+1)</f>
        <v>2019</v>
      </c>
      <c r="D106" s="371">
        <v>25638437.076598886</v>
      </c>
      <c r="E106" s="373">
        <v>803173.21499999997</v>
      </c>
      <c r="F106" s="375">
        <v>24835263.861598887</v>
      </c>
      <c r="G106" s="375">
        <v>25236850.469098888</v>
      </c>
      <c r="H106" s="373">
        <v>3467236.9580654148</v>
      </c>
      <c r="I106" s="374">
        <v>3467236.9580654148</v>
      </c>
      <c r="J106" s="53">
        <f t="shared" si="47"/>
        <v>0</v>
      </c>
      <c r="K106" s="53"/>
      <c r="L106" s="376">
        <f t="shared" ref="L106" si="48">H106</f>
        <v>3467236.9580654148</v>
      </c>
      <c r="M106" s="53">
        <f t="shared" ref="M106" si="49">IF(L106&lt;&gt;0,+H106-L106,0)</f>
        <v>0</v>
      </c>
      <c r="N106" s="376">
        <f t="shared" ref="N106" si="50">I106</f>
        <v>3467236.9580654148</v>
      </c>
      <c r="O106" s="53">
        <f t="shared" si="45"/>
        <v>0</v>
      </c>
      <c r="P106" s="53">
        <f t="shared" si="46"/>
        <v>0</v>
      </c>
      <c r="Q106" s="1"/>
      <c r="R106" s="1"/>
      <c r="S106" s="1"/>
      <c r="T106" s="1"/>
      <c r="U106" s="1"/>
    </row>
    <row r="107" spans="1:21">
      <c r="B107" t="str">
        <f t="shared" si="41"/>
        <v/>
      </c>
      <c r="C107" s="49">
        <f>IF(D94="","-",+C106+1)</f>
        <v>2020</v>
      </c>
      <c r="D107" s="371">
        <v>24835263.861598887</v>
      </c>
      <c r="E107" s="373">
        <v>1032651.2764285713</v>
      </c>
      <c r="F107" s="375">
        <v>23802612.585170314</v>
      </c>
      <c r="G107" s="375">
        <v>24318938.2233846</v>
      </c>
      <c r="H107" s="373">
        <v>3620514.584021511</v>
      </c>
      <c r="I107" s="374">
        <v>3620514.584021511</v>
      </c>
      <c r="J107" s="53">
        <f t="shared" si="47"/>
        <v>0</v>
      </c>
      <c r="K107" s="53"/>
      <c r="L107" s="376">
        <f t="shared" ref="L107" si="51">H107</f>
        <v>3620514.584021511</v>
      </c>
      <c r="M107" s="53">
        <f t="shared" ref="M107" si="52">IF(L107&lt;&gt;0,+H107-L107,0)</f>
        <v>0</v>
      </c>
      <c r="N107" s="376">
        <f t="shared" ref="N107" si="53">I107</f>
        <v>3620514.584021511</v>
      </c>
      <c r="O107" s="53">
        <f t="shared" si="45"/>
        <v>0</v>
      </c>
      <c r="P107" s="53">
        <f t="shared" si="46"/>
        <v>0</v>
      </c>
      <c r="Q107" s="1"/>
      <c r="R107" s="1"/>
      <c r="S107" s="1"/>
      <c r="T107" s="1"/>
      <c r="U107" s="1"/>
    </row>
    <row r="108" spans="1:21">
      <c r="B108" t="str">
        <f t="shared" si="41"/>
        <v/>
      </c>
      <c r="C108" s="49">
        <f>IF(D94="","-",+C107+1)</f>
        <v>2021</v>
      </c>
      <c r="D108" s="371">
        <v>23802612.585170314</v>
      </c>
      <c r="E108" s="373">
        <v>1156569.4295999999</v>
      </c>
      <c r="F108" s="375">
        <v>22646043.155570313</v>
      </c>
      <c r="G108" s="375">
        <v>23224327.870370314</v>
      </c>
      <c r="H108" s="373">
        <v>3896157.8989285007</v>
      </c>
      <c r="I108" s="374">
        <v>3896157.8989285007</v>
      </c>
      <c r="J108" s="53">
        <f t="shared" si="47"/>
        <v>0</v>
      </c>
      <c r="K108" s="53"/>
      <c r="L108" s="376">
        <f t="shared" ref="L108" si="54">H108</f>
        <v>3896157.8989285007</v>
      </c>
      <c r="M108" s="53">
        <f t="shared" ref="M108" si="55">IF(L108&lt;&gt;0,+H108-L108,0)</f>
        <v>0</v>
      </c>
      <c r="N108" s="376">
        <f t="shared" ref="N108" si="56">I108</f>
        <v>3896157.8989285007</v>
      </c>
      <c r="O108" s="53">
        <f t="shared" si="45"/>
        <v>0</v>
      </c>
      <c r="P108" s="53">
        <f t="shared" si="46"/>
        <v>0</v>
      </c>
      <c r="Q108" s="1"/>
      <c r="R108" s="1"/>
      <c r="S108" s="1"/>
      <c r="T108" s="1"/>
      <c r="U108" s="1"/>
    </row>
    <row r="109" spans="1:21">
      <c r="B109" t="str">
        <f t="shared" si="41"/>
        <v/>
      </c>
      <c r="C109" s="49">
        <f>IF(D94="","-",+C108+1)</f>
        <v>2022</v>
      </c>
      <c r="D109" s="371">
        <v>22646043.155570313</v>
      </c>
      <c r="E109" s="373">
        <v>1376868.3685714286</v>
      </c>
      <c r="F109" s="375">
        <v>21269174.786998883</v>
      </c>
      <c r="G109" s="375">
        <v>21957608.971284598</v>
      </c>
      <c r="H109" s="373">
        <v>3901247.1928159595</v>
      </c>
      <c r="I109" s="374">
        <v>3901247.1928159595</v>
      </c>
      <c r="J109" s="53">
        <f t="shared" si="47"/>
        <v>0</v>
      </c>
      <c r="K109" s="53"/>
      <c r="L109" s="376">
        <f t="shared" ref="L109" si="57">H109</f>
        <v>3901247.1928159595</v>
      </c>
      <c r="M109" s="53">
        <f t="shared" ref="M109" si="58">IF(L109&lt;&gt;0,+H109-L109,0)</f>
        <v>0</v>
      </c>
      <c r="N109" s="376">
        <f t="shared" ref="N109" si="59">I109</f>
        <v>3901247.1928159595</v>
      </c>
      <c r="O109" s="53">
        <f t="shared" ref="O109" si="60">IF(N109&lt;&gt;0,+I109-N109,0)</f>
        <v>0</v>
      </c>
      <c r="P109" s="53">
        <f t="shared" ref="P109" si="61">+O109-M109</f>
        <v>0</v>
      </c>
      <c r="Q109" s="1"/>
      <c r="R109" s="1"/>
      <c r="S109" s="1"/>
      <c r="T109" s="1"/>
      <c r="U109" s="1"/>
    </row>
    <row r="110" spans="1:21">
      <c r="B110" t="str">
        <f t="shared" si="41"/>
        <v>IU</v>
      </c>
      <c r="C110" s="49">
        <f>IF(D94="","-",+C109+1)</f>
        <v>2023</v>
      </c>
      <c r="D110" s="371">
        <v>21269175.046998885</v>
      </c>
      <c r="E110" s="373">
        <v>1521801.894736842</v>
      </c>
      <c r="F110" s="375">
        <v>19747373.152262043</v>
      </c>
      <c r="G110" s="375">
        <v>20508274.099630464</v>
      </c>
      <c r="H110" s="373">
        <v>3770209.3026599083</v>
      </c>
      <c r="I110" s="374">
        <v>3770209.3026599083</v>
      </c>
      <c r="J110" s="53">
        <f t="shared" si="47"/>
        <v>0</v>
      </c>
      <c r="K110" s="53"/>
      <c r="L110" s="376">
        <f t="shared" ref="L110" si="62">H110</f>
        <v>3770209.3026599083</v>
      </c>
      <c r="M110" s="53">
        <f t="shared" ref="M110" si="63">IF(L110&lt;&gt;0,+H110-L110,0)</f>
        <v>0</v>
      </c>
      <c r="N110" s="376">
        <f t="shared" ref="N110" si="64">I110</f>
        <v>3770209.3026599083</v>
      </c>
      <c r="O110" s="53">
        <f t="shared" ref="O110" si="65">IF(N110&lt;&gt;0,+I110-N110,0)</f>
        <v>0</v>
      </c>
      <c r="P110" s="53">
        <f t="shared" ref="P110" si="66">+O110-M110</f>
        <v>0</v>
      </c>
      <c r="Q110" s="1"/>
      <c r="R110" s="1"/>
      <c r="S110" s="1"/>
      <c r="T110" s="1"/>
      <c r="U110" s="1"/>
    </row>
    <row r="111" spans="1:21">
      <c r="B111" t="str">
        <f t="shared" si="41"/>
        <v/>
      </c>
      <c r="C111" s="49">
        <f>IF(D94="","-",+C110+1)</f>
        <v>2024</v>
      </c>
      <c r="D111" s="11">
        <v>19747373.152262043</v>
      </c>
      <c r="E111" s="377">
        <v>1700837.4117647058</v>
      </c>
      <c r="F111" s="54">
        <v>18046535.740497336</v>
      </c>
      <c r="G111" s="54">
        <v>18896954.446379691</v>
      </c>
      <c r="H111" s="459">
        <v>3793206.5697790496</v>
      </c>
      <c r="I111" s="407">
        <v>3793206.5697790496</v>
      </c>
      <c r="J111" s="53">
        <f t="shared" si="47"/>
        <v>0</v>
      </c>
      <c r="K111" s="53"/>
      <c r="L111" s="376">
        <f t="shared" ref="L111" si="67">H111</f>
        <v>3793206.5697790496</v>
      </c>
      <c r="M111" s="53">
        <f t="shared" ref="M111" si="68">IF(L111&lt;&gt;0,+H111-L111,0)</f>
        <v>0</v>
      </c>
      <c r="N111" s="376">
        <f t="shared" ref="N111" si="69">I111</f>
        <v>3793206.5697790496</v>
      </c>
      <c r="O111" s="53">
        <f t="shared" ref="O111" si="70">IF(N111&lt;&gt;0,+I111-N111,0)</f>
        <v>0</v>
      </c>
      <c r="P111" s="53">
        <f t="shared" ref="P111" si="71">+O111-M111</f>
        <v>0</v>
      </c>
      <c r="Q111" s="1"/>
      <c r="R111" s="1"/>
      <c r="S111" s="1"/>
      <c r="T111" s="1"/>
      <c r="U111" s="1"/>
    </row>
    <row r="112" spans="1:21">
      <c r="B112" t="str">
        <f t="shared" si="41"/>
        <v/>
      </c>
      <c r="C112" s="49">
        <f>IF(D94="","-",+C111+1)</f>
        <v>2025</v>
      </c>
      <c r="D112" s="11">
        <f>IF(F111+SUM(E$100:E111)=D$93,F111,D$93-SUM(E$100:E111))</f>
        <v>18046535.740497336</v>
      </c>
      <c r="E112" s="377">
        <f>IF(+J97&lt;F111,J97,D112)</f>
        <v>903569.875</v>
      </c>
      <c r="F112" s="54">
        <f t="shared" ref="F112:F132" si="72">+D112-E112</f>
        <v>17142965.865497336</v>
      </c>
      <c r="G112" s="54">
        <f t="shared" ref="G112:G131" si="73">+(F112+D112)/2</f>
        <v>17594750.802997336</v>
      </c>
      <c r="H112" s="459">
        <f t="shared" ref="H112:H155" si="74">(D112+F112)/2*J$95+E112</f>
        <v>2882362.8310243376</v>
      </c>
      <c r="I112" s="407">
        <f t="shared" ref="I112:I131" si="75">+J$96*G112+E112</f>
        <v>2882362.8310243376</v>
      </c>
      <c r="J112" s="53">
        <f t="shared" si="47"/>
        <v>0</v>
      </c>
      <c r="K112" s="53"/>
      <c r="L112" s="112"/>
      <c r="M112" s="53">
        <f t="shared" ref="M112:M131" si="76">IF(L112&lt;&gt;0,+H112-L112,0)</f>
        <v>0</v>
      </c>
      <c r="N112" s="112"/>
      <c r="O112" s="53">
        <f t="shared" si="45"/>
        <v>0</v>
      </c>
      <c r="P112" s="53">
        <f t="shared" si="46"/>
        <v>0</v>
      </c>
      <c r="Q112" s="1"/>
      <c r="R112" s="1"/>
      <c r="S112" s="1"/>
      <c r="T112" s="1"/>
      <c r="U112" s="1"/>
    </row>
    <row r="113" spans="2:21">
      <c r="B113" t="str">
        <f t="shared" si="41"/>
        <v/>
      </c>
      <c r="C113" s="49">
        <f>IF(D94="","-",+C112+1)</f>
        <v>2026</v>
      </c>
      <c r="D113" s="11">
        <f>IF(F112+SUM(E$100:E112)=D$93,F112,D$93-SUM(E$100:E112))</f>
        <v>17142965.865497336</v>
      </c>
      <c r="E113" s="377">
        <f>IF(+J97&lt;F112,J97,D113)</f>
        <v>903569.875</v>
      </c>
      <c r="F113" s="54">
        <f t="shared" si="72"/>
        <v>16239395.990497336</v>
      </c>
      <c r="G113" s="54">
        <f t="shared" si="73"/>
        <v>16691180.927997336</v>
      </c>
      <c r="H113" s="459">
        <f t="shared" si="74"/>
        <v>2780742.8806229252</v>
      </c>
      <c r="I113" s="407">
        <f t="shared" si="75"/>
        <v>2780742.8806229252</v>
      </c>
      <c r="J113" s="53">
        <f t="shared" si="47"/>
        <v>0</v>
      </c>
      <c r="K113" s="53"/>
      <c r="L113" s="112"/>
      <c r="M113" s="53">
        <f t="shared" si="76"/>
        <v>0</v>
      </c>
      <c r="N113" s="112"/>
      <c r="O113" s="53">
        <f t="shared" si="45"/>
        <v>0</v>
      </c>
      <c r="P113" s="53">
        <f t="shared" si="46"/>
        <v>0</v>
      </c>
      <c r="Q113" s="1"/>
      <c r="R113" s="1"/>
      <c r="S113" s="1"/>
      <c r="T113" s="1"/>
      <c r="U113" s="1"/>
    </row>
    <row r="114" spans="2:21">
      <c r="B114" t="str">
        <f t="shared" si="41"/>
        <v/>
      </c>
      <c r="C114" s="49">
        <f>IF(D94="","-",+C113+1)</f>
        <v>2027</v>
      </c>
      <c r="D114" s="11">
        <f>IF(F113+SUM(E$100:E113)=D$93,F113,D$93-SUM(E$100:E113))</f>
        <v>16239395.990497336</v>
      </c>
      <c r="E114" s="377">
        <f>IF(+J97&lt;F113,J97,D114)</f>
        <v>903569.875</v>
      </c>
      <c r="F114" s="54">
        <f t="shared" si="72"/>
        <v>15335826.115497336</v>
      </c>
      <c r="G114" s="54">
        <f t="shared" si="73"/>
        <v>15787611.052997336</v>
      </c>
      <c r="H114" s="459">
        <f t="shared" si="74"/>
        <v>2679122.9302215138</v>
      </c>
      <c r="I114" s="407">
        <f t="shared" si="75"/>
        <v>2679122.9302215138</v>
      </c>
      <c r="J114" s="53">
        <f t="shared" si="47"/>
        <v>0</v>
      </c>
      <c r="K114" s="53"/>
      <c r="L114" s="112"/>
      <c r="M114" s="53">
        <f t="shared" si="76"/>
        <v>0</v>
      </c>
      <c r="N114" s="112"/>
      <c r="O114" s="53">
        <f t="shared" si="45"/>
        <v>0</v>
      </c>
      <c r="P114" s="53">
        <f t="shared" si="46"/>
        <v>0</v>
      </c>
      <c r="Q114" s="1"/>
      <c r="R114" s="1"/>
      <c r="S114" s="1"/>
      <c r="T114" s="1"/>
      <c r="U114" s="1"/>
    </row>
    <row r="115" spans="2:21">
      <c r="B115" t="str">
        <f t="shared" si="41"/>
        <v/>
      </c>
      <c r="C115" s="49">
        <f>IF(D94="","-",+C114+1)</f>
        <v>2028</v>
      </c>
      <c r="D115" s="11">
        <f>IF(F114+SUM(E$100:E114)=D$93,F114,D$93-SUM(E$100:E114))</f>
        <v>15335826.115497336</v>
      </c>
      <c r="E115" s="377">
        <f>IF(+J97&lt;F114,J97,D115)</f>
        <v>903569.875</v>
      </c>
      <c r="F115" s="54">
        <f t="shared" si="72"/>
        <v>14432256.240497336</v>
      </c>
      <c r="G115" s="54">
        <f t="shared" si="73"/>
        <v>14884041.177997336</v>
      </c>
      <c r="H115" s="459">
        <f t="shared" si="74"/>
        <v>2577502.9798201015</v>
      </c>
      <c r="I115" s="407">
        <f t="shared" si="75"/>
        <v>2577502.9798201015</v>
      </c>
      <c r="J115" s="53">
        <f t="shared" si="47"/>
        <v>0</v>
      </c>
      <c r="K115" s="53"/>
      <c r="L115" s="112"/>
      <c r="M115" s="53">
        <f t="shared" si="76"/>
        <v>0</v>
      </c>
      <c r="N115" s="112"/>
      <c r="O115" s="53">
        <f t="shared" si="45"/>
        <v>0</v>
      </c>
      <c r="P115" s="53">
        <f t="shared" si="46"/>
        <v>0</v>
      </c>
      <c r="Q115" s="1"/>
      <c r="R115" s="1"/>
      <c r="S115" s="1"/>
      <c r="T115" s="1"/>
      <c r="U115" s="1"/>
    </row>
    <row r="116" spans="2:21">
      <c r="B116" t="str">
        <f t="shared" si="41"/>
        <v/>
      </c>
      <c r="C116" s="49">
        <f>IF(D94="","-",+C115+1)</f>
        <v>2029</v>
      </c>
      <c r="D116" s="11">
        <f>IF(F115+SUM(E$100:E115)=D$93,F115,D$93-SUM(E$100:E115))</f>
        <v>14432256.240497336</v>
      </c>
      <c r="E116" s="377">
        <f>IF(+J97&lt;F115,J97,D116)</f>
        <v>903569.875</v>
      </c>
      <c r="F116" s="54">
        <f t="shared" si="72"/>
        <v>13528686.365497336</v>
      </c>
      <c r="G116" s="54">
        <f t="shared" si="73"/>
        <v>13980471.302997336</v>
      </c>
      <c r="H116" s="459">
        <f t="shared" si="74"/>
        <v>2475883.0294186901</v>
      </c>
      <c r="I116" s="407">
        <f t="shared" si="75"/>
        <v>2475883.0294186901</v>
      </c>
      <c r="J116" s="53">
        <f t="shared" si="47"/>
        <v>0</v>
      </c>
      <c r="K116" s="53"/>
      <c r="L116" s="112"/>
      <c r="M116" s="53">
        <f t="shared" si="76"/>
        <v>0</v>
      </c>
      <c r="N116" s="112"/>
      <c r="O116" s="53">
        <f t="shared" si="45"/>
        <v>0</v>
      </c>
      <c r="P116" s="53">
        <f t="shared" si="46"/>
        <v>0</v>
      </c>
      <c r="Q116" s="1"/>
      <c r="R116" s="1"/>
      <c r="S116" s="1"/>
      <c r="T116" s="1"/>
      <c r="U116" s="1"/>
    </row>
    <row r="117" spans="2:21">
      <c r="B117" t="str">
        <f t="shared" si="41"/>
        <v/>
      </c>
      <c r="C117" s="49">
        <f>IF(D94="","-",+C116+1)</f>
        <v>2030</v>
      </c>
      <c r="D117" s="11">
        <f>IF(F116+SUM(E$100:E116)=D$93,F116,D$93-SUM(E$100:E116))</f>
        <v>13528686.365497336</v>
      </c>
      <c r="E117" s="377">
        <f>IF(+J97&lt;F116,J97,D117)</f>
        <v>903569.875</v>
      </c>
      <c r="F117" s="54">
        <f t="shared" si="72"/>
        <v>12625116.490497336</v>
      </c>
      <c r="G117" s="54">
        <f t="shared" si="73"/>
        <v>13076901.427997336</v>
      </c>
      <c r="H117" s="459">
        <f t="shared" si="74"/>
        <v>2374263.0790172778</v>
      </c>
      <c r="I117" s="407">
        <f t="shared" si="75"/>
        <v>2374263.0790172778</v>
      </c>
      <c r="J117" s="53">
        <f t="shared" si="47"/>
        <v>0</v>
      </c>
      <c r="K117" s="53"/>
      <c r="L117" s="112"/>
      <c r="M117" s="53">
        <f t="shared" si="76"/>
        <v>0</v>
      </c>
      <c r="N117" s="112"/>
      <c r="O117" s="53">
        <f t="shared" si="45"/>
        <v>0</v>
      </c>
      <c r="P117" s="53">
        <f t="shared" si="46"/>
        <v>0</v>
      </c>
      <c r="Q117" s="1"/>
      <c r="R117" s="1"/>
      <c r="S117" s="1"/>
      <c r="T117" s="1"/>
      <c r="U117" s="1"/>
    </row>
    <row r="118" spans="2:21">
      <c r="B118" t="str">
        <f t="shared" si="41"/>
        <v/>
      </c>
      <c r="C118" s="49">
        <f>IF(D94="","-",+C117+1)</f>
        <v>2031</v>
      </c>
      <c r="D118" s="11">
        <f>IF(F117+SUM(E$100:E117)=D$93,F117,D$93-SUM(E$100:E117))</f>
        <v>12625116.490497336</v>
      </c>
      <c r="E118" s="377">
        <f>IF(+J97&lt;F117,J97,D118)</f>
        <v>903569.875</v>
      </c>
      <c r="F118" s="54">
        <f t="shared" si="72"/>
        <v>11721546.615497336</v>
      </c>
      <c r="G118" s="54">
        <f t="shared" si="73"/>
        <v>12173331.552997336</v>
      </c>
      <c r="H118" s="459">
        <f t="shared" si="74"/>
        <v>2272643.1286158664</v>
      </c>
      <c r="I118" s="407">
        <f t="shared" si="75"/>
        <v>2272643.1286158664</v>
      </c>
      <c r="J118" s="53">
        <f t="shared" si="47"/>
        <v>0</v>
      </c>
      <c r="K118" s="53"/>
      <c r="L118" s="112"/>
      <c r="M118" s="53">
        <f t="shared" si="76"/>
        <v>0</v>
      </c>
      <c r="N118" s="112"/>
      <c r="O118" s="53">
        <f t="shared" si="45"/>
        <v>0</v>
      </c>
      <c r="P118" s="53">
        <f t="shared" si="46"/>
        <v>0</v>
      </c>
      <c r="Q118" s="1"/>
      <c r="R118" s="1"/>
      <c r="S118" s="1"/>
      <c r="T118" s="1"/>
      <c r="U118" s="1"/>
    </row>
    <row r="119" spans="2:21">
      <c r="B119" t="str">
        <f t="shared" si="41"/>
        <v/>
      </c>
      <c r="C119" s="49">
        <f>IF(D94="","-",+C118+1)</f>
        <v>2032</v>
      </c>
      <c r="D119" s="11">
        <f>IF(F118+SUM(E$100:E118)=D$93,F118,D$93-SUM(E$100:E118))</f>
        <v>11721546.615497336</v>
      </c>
      <c r="E119" s="377">
        <f>IF(+J97&lt;F118,J97,D119)</f>
        <v>903569.875</v>
      </c>
      <c r="F119" s="54">
        <f t="shared" si="72"/>
        <v>10817976.740497336</v>
      </c>
      <c r="G119" s="54">
        <f t="shared" si="73"/>
        <v>11269761.677997336</v>
      </c>
      <c r="H119" s="459">
        <f t="shared" si="74"/>
        <v>2171023.1782144541</v>
      </c>
      <c r="I119" s="407">
        <f t="shared" si="75"/>
        <v>2171023.1782144541</v>
      </c>
      <c r="J119" s="53">
        <f t="shared" si="47"/>
        <v>0</v>
      </c>
      <c r="K119" s="53"/>
      <c r="L119" s="112"/>
      <c r="M119" s="53">
        <f t="shared" si="76"/>
        <v>0</v>
      </c>
      <c r="N119" s="112"/>
      <c r="O119" s="53">
        <f t="shared" si="45"/>
        <v>0</v>
      </c>
      <c r="P119" s="53">
        <f t="shared" si="46"/>
        <v>0</v>
      </c>
      <c r="Q119" s="1"/>
      <c r="R119" s="1"/>
      <c r="S119" s="1"/>
      <c r="T119" s="1"/>
      <c r="U119" s="1"/>
    </row>
    <row r="120" spans="2:21">
      <c r="B120" t="str">
        <f t="shared" si="41"/>
        <v/>
      </c>
      <c r="C120" s="49">
        <f>IF(D94="","-",+C119+1)</f>
        <v>2033</v>
      </c>
      <c r="D120" s="11">
        <f>IF(F119+SUM(E$100:E119)=D$93,F119,D$93-SUM(E$100:E119))</f>
        <v>10817976.740497336</v>
      </c>
      <c r="E120" s="377">
        <f>IF(+J97&lt;F119,J97,D120)</f>
        <v>903569.875</v>
      </c>
      <c r="F120" s="54">
        <f t="shared" si="72"/>
        <v>9914406.8654973358</v>
      </c>
      <c r="G120" s="54">
        <f t="shared" si="73"/>
        <v>10366191.802997336</v>
      </c>
      <c r="H120" s="459">
        <f t="shared" si="74"/>
        <v>2069403.2278130425</v>
      </c>
      <c r="I120" s="407">
        <f t="shared" si="75"/>
        <v>2069403.2278130425</v>
      </c>
      <c r="J120" s="53">
        <f t="shared" si="47"/>
        <v>0</v>
      </c>
      <c r="K120" s="53"/>
      <c r="L120" s="112"/>
      <c r="M120" s="53">
        <f t="shared" si="76"/>
        <v>0</v>
      </c>
      <c r="N120" s="112"/>
      <c r="O120" s="53">
        <f t="shared" si="45"/>
        <v>0</v>
      </c>
      <c r="P120" s="53">
        <f t="shared" si="46"/>
        <v>0</v>
      </c>
      <c r="Q120" s="1"/>
      <c r="R120" s="1"/>
      <c r="S120" s="1"/>
      <c r="T120" s="1"/>
      <c r="U120" s="1"/>
    </row>
    <row r="121" spans="2:21">
      <c r="B121" t="str">
        <f t="shared" si="41"/>
        <v/>
      </c>
      <c r="C121" s="49">
        <f>IF(D94="","-",+C120+1)</f>
        <v>2034</v>
      </c>
      <c r="D121" s="11">
        <f>IF(F120+SUM(E$100:E120)=D$93,F120,D$93-SUM(E$100:E120))</f>
        <v>9914406.8654973358</v>
      </c>
      <c r="E121" s="377">
        <f>IF(+J97&lt;F120,J97,D121)</f>
        <v>903569.875</v>
      </c>
      <c r="F121" s="54">
        <f t="shared" si="72"/>
        <v>9010836.9904973358</v>
      </c>
      <c r="G121" s="54">
        <f t="shared" si="73"/>
        <v>9462621.9279973358</v>
      </c>
      <c r="H121" s="459">
        <f t="shared" si="74"/>
        <v>1967783.2774116306</v>
      </c>
      <c r="I121" s="407">
        <f t="shared" si="75"/>
        <v>1967783.2774116306</v>
      </c>
      <c r="J121" s="53">
        <f t="shared" si="47"/>
        <v>0</v>
      </c>
      <c r="K121" s="53"/>
      <c r="L121" s="112"/>
      <c r="M121" s="53">
        <f t="shared" si="76"/>
        <v>0</v>
      </c>
      <c r="N121" s="112"/>
      <c r="O121" s="53">
        <f t="shared" si="45"/>
        <v>0</v>
      </c>
      <c r="P121" s="53">
        <f t="shared" si="46"/>
        <v>0</v>
      </c>
      <c r="Q121" s="1"/>
      <c r="R121" s="1"/>
      <c r="S121" s="1"/>
      <c r="T121" s="1"/>
      <c r="U121" s="1"/>
    </row>
    <row r="122" spans="2:21">
      <c r="B122" t="str">
        <f t="shared" si="41"/>
        <v/>
      </c>
      <c r="C122" s="49">
        <f>IF(D94="","-",+C121+1)</f>
        <v>2035</v>
      </c>
      <c r="D122" s="11">
        <f>IF(F121+SUM(E$100:E121)=D$93,F121,D$93-SUM(E$100:E121))</f>
        <v>9010836.9904973358</v>
      </c>
      <c r="E122" s="377">
        <f>IF(+J97&lt;F121,J97,D122)</f>
        <v>903569.875</v>
      </c>
      <c r="F122" s="54">
        <f t="shared" si="72"/>
        <v>8107267.1154973358</v>
      </c>
      <c r="G122" s="54">
        <f t="shared" si="73"/>
        <v>8559052.0529973358</v>
      </c>
      <c r="H122" s="459">
        <f t="shared" si="74"/>
        <v>1866163.3270102185</v>
      </c>
      <c r="I122" s="407">
        <f t="shared" si="75"/>
        <v>1866163.3270102185</v>
      </c>
      <c r="J122" s="53">
        <f t="shared" si="47"/>
        <v>0</v>
      </c>
      <c r="K122" s="53"/>
      <c r="L122" s="112"/>
      <c r="M122" s="53">
        <f t="shared" si="76"/>
        <v>0</v>
      </c>
      <c r="N122" s="112"/>
      <c r="O122" s="53">
        <f t="shared" si="45"/>
        <v>0</v>
      </c>
      <c r="P122" s="53">
        <f t="shared" si="46"/>
        <v>0</v>
      </c>
      <c r="Q122" s="1"/>
      <c r="R122" s="1"/>
      <c r="S122" s="1"/>
      <c r="T122" s="1"/>
      <c r="U122" s="1"/>
    </row>
    <row r="123" spans="2:21">
      <c r="B123" t="str">
        <f t="shared" si="41"/>
        <v/>
      </c>
      <c r="C123" s="49">
        <f>IF(D94="","-",+C122+1)</f>
        <v>2036</v>
      </c>
      <c r="D123" s="11">
        <f>IF(F122+SUM(E$100:E122)=D$93,F122,D$93-SUM(E$100:E122))</f>
        <v>8107267.1154973358</v>
      </c>
      <c r="E123" s="377">
        <f>IF(+J97&lt;F122,J97,D123)</f>
        <v>903569.875</v>
      </c>
      <c r="F123" s="54">
        <f t="shared" si="72"/>
        <v>7203697.2404973358</v>
      </c>
      <c r="G123" s="54">
        <f t="shared" si="73"/>
        <v>7655482.1779973358</v>
      </c>
      <c r="H123" s="459">
        <f t="shared" si="74"/>
        <v>1764543.3766088067</v>
      </c>
      <c r="I123" s="407">
        <f t="shared" si="75"/>
        <v>1764543.3766088067</v>
      </c>
      <c r="J123" s="53">
        <f t="shared" si="47"/>
        <v>0</v>
      </c>
      <c r="K123" s="53"/>
      <c r="L123" s="112"/>
      <c r="M123" s="53">
        <f t="shared" si="76"/>
        <v>0</v>
      </c>
      <c r="N123" s="112"/>
      <c r="O123" s="53">
        <f t="shared" si="45"/>
        <v>0</v>
      </c>
      <c r="P123" s="53">
        <f t="shared" si="46"/>
        <v>0</v>
      </c>
      <c r="Q123" s="1"/>
      <c r="R123" s="1"/>
      <c r="S123" s="1"/>
      <c r="T123" s="1"/>
      <c r="U123" s="1"/>
    </row>
    <row r="124" spans="2:21">
      <c r="B124" t="str">
        <f t="shared" si="41"/>
        <v/>
      </c>
      <c r="C124" s="49">
        <f>IF(D94="","-",+C123+1)</f>
        <v>2037</v>
      </c>
      <c r="D124" s="11">
        <f>IF(F123+SUM(E$100:E123)=D$93,F123,D$93-SUM(E$100:E123))</f>
        <v>7203697.2404973358</v>
      </c>
      <c r="E124" s="377">
        <f>IF(+J97&lt;F123,J97,D124)</f>
        <v>903569.875</v>
      </c>
      <c r="F124" s="54">
        <f t="shared" si="72"/>
        <v>6300127.3654973358</v>
      </c>
      <c r="G124" s="54">
        <f t="shared" si="73"/>
        <v>6751912.3029973358</v>
      </c>
      <c r="H124" s="459">
        <f t="shared" si="74"/>
        <v>1662923.4262073948</v>
      </c>
      <c r="I124" s="407">
        <f t="shared" si="75"/>
        <v>1662923.4262073948</v>
      </c>
      <c r="J124" s="53">
        <f t="shared" si="47"/>
        <v>0</v>
      </c>
      <c r="K124" s="53"/>
      <c r="L124" s="112"/>
      <c r="M124" s="53">
        <f t="shared" si="76"/>
        <v>0</v>
      </c>
      <c r="N124" s="112"/>
      <c r="O124" s="53">
        <f t="shared" si="45"/>
        <v>0</v>
      </c>
      <c r="P124" s="53">
        <f t="shared" si="46"/>
        <v>0</v>
      </c>
      <c r="Q124" s="1"/>
      <c r="R124" s="1"/>
      <c r="S124" s="1"/>
      <c r="T124" s="1"/>
      <c r="U124" s="1"/>
    </row>
    <row r="125" spans="2:21">
      <c r="B125" t="str">
        <f t="shared" si="41"/>
        <v/>
      </c>
      <c r="C125" s="49">
        <f>IF(D94="","-",+C124+1)</f>
        <v>2038</v>
      </c>
      <c r="D125" s="11">
        <f>IF(F124+SUM(E$100:E124)=D$93,F124,D$93-SUM(E$100:E124))</f>
        <v>6300127.3654973358</v>
      </c>
      <c r="E125" s="377">
        <f>IF(+J97&lt;F124,J97,D125)</f>
        <v>903569.875</v>
      </c>
      <c r="F125" s="54">
        <f t="shared" si="72"/>
        <v>5396557.4904973358</v>
      </c>
      <c r="G125" s="54">
        <f t="shared" si="73"/>
        <v>5848342.4279973358</v>
      </c>
      <c r="H125" s="459">
        <f t="shared" si="74"/>
        <v>1561303.4758059829</v>
      </c>
      <c r="I125" s="407">
        <f t="shared" si="75"/>
        <v>1561303.4758059829</v>
      </c>
      <c r="J125" s="53">
        <f t="shared" si="47"/>
        <v>0</v>
      </c>
      <c r="K125" s="53"/>
      <c r="L125" s="112"/>
      <c r="M125" s="53">
        <f t="shared" si="76"/>
        <v>0</v>
      </c>
      <c r="N125" s="112"/>
      <c r="O125" s="53">
        <f t="shared" si="45"/>
        <v>0</v>
      </c>
      <c r="P125" s="53">
        <f t="shared" si="46"/>
        <v>0</v>
      </c>
      <c r="Q125" s="1"/>
      <c r="R125" s="1"/>
      <c r="S125" s="1"/>
      <c r="T125" s="1"/>
      <c r="U125" s="1"/>
    </row>
    <row r="126" spans="2:21">
      <c r="B126" t="str">
        <f t="shared" si="41"/>
        <v/>
      </c>
      <c r="C126" s="49">
        <f>IF(D94="","-",+C125+1)</f>
        <v>2039</v>
      </c>
      <c r="D126" s="11">
        <f>IF(F125+SUM(E$100:E125)=D$93,F125,D$93-SUM(E$100:E125))</f>
        <v>5396557.4904973358</v>
      </c>
      <c r="E126" s="377">
        <f>IF(+J97&lt;F125,J97,D126)</f>
        <v>903569.875</v>
      </c>
      <c r="F126" s="54">
        <f t="shared" si="72"/>
        <v>4492987.6154973358</v>
      </c>
      <c r="G126" s="54">
        <f t="shared" si="73"/>
        <v>4944772.5529973358</v>
      </c>
      <c r="H126" s="459">
        <f t="shared" si="74"/>
        <v>1459683.5254045711</v>
      </c>
      <c r="I126" s="407">
        <f t="shared" si="75"/>
        <v>1459683.5254045711</v>
      </c>
      <c r="J126" s="53">
        <f t="shared" si="47"/>
        <v>0</v>
      </c>
      <c r="K126" s="53"/>
      <c r="L126" s="112"/>
      <c r="M126" s="53">
        <f t="shared" si="76"/>
        <v>0</v>
      </c>
      <c r="N126" s="112"/>
      <c r="O126" s="53">
        <f t="shared" si="45"/>
        <v>0</v>
      </c>
      <c r="P126" s="53">
        <f t="shared" si="46"/>
        <v>0</v>
      </c>
      <c r="Q126" s="1"/>
      <c r="R126" s="1"/>
      <c r="S126" s="1"/>
      <c r="T126" s="1"/>
      <c r="U126" s="1"/>
    </row>
    <row r="127" spans="2:21">
      <c r="B127" t="str">
        <f t="shared" si="41"/>
        <v/>
      </c>
      <c r="C127" s="49">
        <f>IF(D94="","-",+C126+1)</f>
        <v>2040</v>
      </c>
      <c r="D127" s="11">
        <f>IF(F126+SUM(E$100:E126)=D$93,F126,D$93-SUM(E$100:E126))</f>
        <v>4492987.6154973358</v>
      </c>
      <c r="E127" s="377">
        <f>IF(+J97&lt;F126,J97,D127)</f>
        <v>903569.875</v>
      </c>
      <c r="F127" s="54">
        <f t="shared" si="72"/>
        <v>3589417.7404973358</v>
      </c>
      <c r="G127" s="54">
        <f t="shared" si="73"/>
        <v>4041202.6779973358</v>
      </c>
      <c r="H127" s="459">
        <f t="shared" si="74"/>
        <v>1358063.5750031592</v>
      </c>
      <c r="I127" s="407">
        <f t="shared" si="75"/>
        <v>1358063.5750031592</v>
      </c>
      <c r="J127" s="53">
        <f t="shared" si="47"/>
        <v>0</v>
      </c>
      <c r="K127" s="53"/>
      <c r="L127" s="112"/>
      <c r="M127" s="53">
        <f t="shared" si="76"/>
        <v>0</v>
      </c>
      <c r="N127" s="112"/>
      <c r="O127" s="53">
        <f t="shared" si="45"/>
        <v>0</v>
      </c>
      <c r="P127" s="53">
        <f t="shared" si="46"/>
        <v>0</v>
      </c>
      <c r="Q127" s="1"/>
      <c r="R127" s="1"/>
      <c r="S127" s="1"/>
      <c r="T127" s="1"/>
      <c r="U127" s="1"/>
    </row>
    <row r="128" spans="2:21">
      <c r="B128" t="str">
        <f t="shared" si="41"/>
        <v/>
      </c>
      <c r="C128" s="49">
        <f>IF(D94="","-",+C127+1)</f>
        <v>2041</v>
      </c>
      <c r="D128" s="11">
        <f>IF(F127+SUM(E$100:E127)=D$93,F127,D$93-SUM(E$100:E127))</f>
        <v>3589417.7404973358</v>
      </c>
      <c r="E128" s="377">
        <f>IF(+J97&lt;F127,J97,D128)</f>
        <v>903569.875</v>
      </c>
      <c r="F128" s="54">
        <f t="shared" si="72"/>
        <v>2685847.8654973358</v>
      </c>
      <c r="G128" s="54">
        <f t="shared" si="73"/>
        <v>3137632.8029973358</v>
      </c>
      <c r="H128" s="459">
        <f t="shared" si="74"/>
        <v>1256443.6246017474</v>
      </c>
      <c r="I128" s="407">
        <f t="shared" si="75"/>
        <v>1256443.6246017474</v>
      </c>
      <c r="J128" s="53">
        <f t="shared" si="47"/>
        <v>0</v>
      </c>
      <c r="K128" s="53"/>
      <c r="L128" s="112"/>
      <c r="M128" s="53">
        <f t="shared" si="76"/>
        <v>0</v>
      </c>
      <c r="N128" s="112"/>
      <c r="O128" s="53">
        <f t="shared" si="45"/>
        <v>0</v>
      </c>
      <c r="P128" s="53">
        <f t="shared" si="46"/>
        <v>0</v>
      </c>
      <c r="Q128" s="1"/>
      <c r="R128" s="1"/>
      <c r="S128" s="1"/>
      <c r="T128" s="1"/>
      <c r="U128" s="1"/>
    </row>
    <row r="129" spans="2:21">
      <c r="B129" t="str">
        <f t="shared" si="41"/>
        <v/>
      </c>
      <c r="C129" s="49">
        <f>IF(D94="","-",+C128+1)</f>
        <v>2042</v>
      </c>
      <c r="D129" s="11">
        <f>IF(F128+SUM(E$100:E128)=D$93,F128,D$93-SUM(E$100:E128))</f>
        <v>2685847.8654973358</v>
      </c>
      <c r="E129" s="377">
        <f>IF(+J97&lt;F128,J97,D129)</f>
        <v>903569.875</v>
      </c>
      <c r="F129" s="54">
        <f t="shared" si="72"/>
        <v>1782277.9904973358</v>
      </c>
      <c r="G129" s="54">
        <f t="shared" si="73"/>
        <v>2234062.9279973358</v>
      </c>
      <c r="H129" s="459">
        <f t="shared" si="74"/>
        <v>1154823.6742003355</v>
      </c>
      <c r="I129" s="407">
        <f t="shared" si="75"/>
        <v>1154823.6742003355</v>
      </c>
      <c r="J129" s="53">
        <f t="shared" si="47"/>
        <v>0</v>
      </c>
      <c r="K129" s="53"/>
      <c r="L129" s="112"/>
      <c r="M129" s="53">
        <f t="shared" si="76"/>
        <v>0</v>
      </c>
      <c r="N129" s="112"/>
      <c r="O129" s="53">
        <f t="shared" si="45"/>
        <v>0</v>
      </c>
      <c r="P129" s="53">
        <f t="shared" si="46"/>
        <v>0</v>
      </c>
      <c r="Q129" s="1"/>
      <c r="R129" s="1"/>
      <c r="S129" s="1"/>
      <c r="T129" s="1"/>
      <c r="U129" s="1"/>
    </row>
    <row r="130" spans="2:21">
      <c r="B130" t="str">
        <f t="shared" si="41"/>
        <v/>
      </c>
      <c r="C130" s="49">
        <f>IF(D94="","-",+C129+1)</f>
        <v>2043</v>
      </c>
      <c r="D130" s="11">
        <f>IF(F129+SUM(E$100:E129)=D$93,F129,D$93-SUM(E$100:E129))</f>
        <v>1782277.9904973358</v>
      </c>
      <c r="E130" s="377">
        <f>IF(+J97&lt;F129,J97,D130)</f>
        <v>903569.875</v>
      </c>
      <c r="F130" s="54">
        <f t="shared" si="72"/>
        <v>878708.11549733579</v>
      </c>
      <c r="G130" s="54">
        <f t="shared" si="73"/>
        <v>1330493.0529973358</v>
      </c>
      <c r="H130" s="459">
        <f t="shared" si="74"/>
        <v>1053203.7237989237</v>
      </c>
      <c r="I130" s="407">
        <f t="shared" si="75"/>
        <v>1053203.7237989237</v>
      </c>
      <c r="J130" s="53">
        <f t="shared" si="47"/>
        <v>0</v>
      </c>
      <c r="K130" s="53"/>
      <c r="L130" s="112"/>
      <c r="M130" s="53">
        <f t="shared" si="76"/>
        <v>0</v>
      </c>
      <c r="N130" s="112"/>
      <c r="O130" s="53">
        <f t="shared" si="45"/>
        <v>0</v>
      </c>
      <c r="P130" s="53">
        <f t="shared" si="46"/>
        <v>0</v>
      </c>
      <c r="Q130" s="1"/>
      <c r="R130" s="1"/>
      <c r="S130" s="1"/>
      <c r="T130" s="1"/>
      <c r="U130" s="1"/>
    </row>
    <row r="131" spans="2:21">
      <c r="B131" t="str">
        <f t="shared" si="41"/>
        <v/>
      </c>
      <c r="C131" s="49">
        <f>IF(D94="","-",+C130+1)</f>
        <v>2044</v>
      </c>
      <c r="D131" s="11">
        <f>IF(F130+SUM(E$100:E130)=D$93,F130,D$93-SUM(E$100:E130))</f>
        <v>878708.11549733579</v>
      </c>
      <c r="E131" s="377">
        <f>IF(+J97&lt;F130,J97,D131)</f>
        <v>878708.11549733579</v>
      </c>
      <c r="F131" s="54">
        <f t="shared" si="72"/>
        <v>0</v>
      </c>
      <c r="G131" s="54">
        <f t="shared" si="73"/>
        <v>439354.0577486679</v>
      </c>
      <c r="H131" s="459">
        <f t="shared" si="74"/>
        <v>928120.05229644466</v>
      </c>
      <c r="I131" s="407">
        <f t="shared" si="75"/>
        <v>928120.05229644466</v>
      </c>
      <c r="J131" s="53">
        <f t="shared" si="47"/>
        <v>0</v>
      </c>
      <c r="K131" s="53"/>
      <c r="L131" s="112"/>
      <c r="M131" s="53">
        <f t="shared" si="76"/>
        <v>0</v>
      </c>
      <c r="N131" s="112"/>
      <c r="O131" s="53">
        <f t="shared" si="45"/>
        <v>0</v>
      </c>
      <c r="P131" s="53">
        <f t="shared" si="46"/>
        <v>0</v>
      </c>
      <c r="Q131" s="1"/>
      <c r="R131" s="1"/>
      <c r="S131" s="1"/>
      <c r="T131" s="1"/>
      <c r="U131" s="1"/>
    </row>
    <row r="132" spans="2:21">
      <c r="B132" t="str">
        <f t="shared" ref="B132:B155" si="77">IF(D132=F131,"","IU")</f>
        <v/>
      </c>
      <c r="C132" s="49">
        <f>IF(D94="","-",+C131+1)</f>
        <v>2045</v>
      </c>
      <c r="D132" s="11">
        <f>IF(F131+SUM(E$100:E131)=D$93,F131,D$93-SUM(E$100:E131))</f>
        <v>0</v>
      </c>
      <c r="E132" s="377">
        <f>IF(+J97&lt;F131,J97,D132)</f>
        <v>0</v>
      </c>
      <c r="F132" s="54">
        <f t="shared" si="72"/>
        <v>0</v>
      </c>
      <c r="G132" s="54">
        <f t="shared" ref="G132:G155" si="78">+(F132+D132)/2</f>
        <v>0</v>
      </c>
      <c r="H132" s="459">
        <f t="shared" si="74"/>
        <v>0</v>
      </c>
      <c r="I132" s="407">
        <f t="shared" ref="I132:I155" si="79">+J$96*G132+E132</f>
        <v>0</v>
      </c>
      <c r="J132" s="53">
        <f t="shared" ref="J132:J155" si="80">+I132-H132</f>
        <v>0</v>
      </c>
      <c r="K132" s="53"/>
      <c r="L132" s="112"/>
      <c r="M132" s="53">
        <f t="shared" ref="M132:M155" si="81">IF(L132&lt;&gt;0,+H132-L132,0)</f>
        <v>0</v>
      </c>
      <c r="N132" s="112"/>
      <c r="O132" s="53">
        <f t="shared" ref="O132:O155" si="82">IF(N132&lt;&gt;0,+I132-N132,0)</f>
        <v>0</v>
      </c>
      <c r="P132" s="53">
        <f t="shared" ref="P132:P155" si="83">+O132-M132</f>
        <v>0</v>
      </c>
      <c r="Q132" s="1"/>
      <c r="R132" s="1"/>
      <c r="S132" s="1"/>
      <c r="T132" s="1"/>
      <c r="U132" s="1"/>
    </row>
    <row r="133" spans="2:21">
      <c r="B133" t="str">
        <f t="shared" si="77"/>
        <v/>
      </c>
      <c r="C133" s="49">
        <f>IF(D94="","-",+C132+1)</f>
        <v>2046</v>
      </c>
      <c r="D133" s="11">
        <f>IF(F132+SUM(E$100:E132)=D$93,F132,D$93-SUM(E$100:E132))</f>
        <v>0</v>
      </c>
      <c r="E133" s="377">
        <f>IF(+J97&lt;F132,J97,D133)</f>
        <v>0</v>
      </c>
      <c r="F133" s="54">
        <f t="shared" ref="F133:F155" si="84">+D133-E133</f>
        <v>0</v>
      </c>
      <c r="G133" s="54">
        <f t="shared" si="78"/>
        <v>0</v>
      </c>
      <c r="H133" s="459">
        <f t="shared" si="74"/>
        <v>0</v>
      </c>
      <c r="I133" s="407">
        <f t="shared" si="79"/>
        <v>0</v>
      </c>
      <c r="J133" s="53">
        <f t="shared" si="80"/>
        <v>0</v>
      </c>
      <c r="K133" s="53"/>
      <c r="L133" s="112"/>
      <c r="M133" s="53">
        <f t="shared" si="81"/>
        <v>0</v>
      </c>
      <c r="N133" s="112"/>
      <c r="O133" s="53">
        <f t="shared" si="82"/>
        <v>0</v>
      </c>
      <c r="P133" s="53">
        <f t="shared" si="83"/>
        <v>0</v>
      </c>
      <c r="Q133" s="1"/>
      <c r="R133" s="1"/>
      <c r="S133" s="1"/>
      <c r="T133" s="1"/>
      <c r="U133" s="1"/>
    </row>
    <row r="134" spans="2:21">
      <c r="B134" t="str">
        <f t="shared" si="77"/>
        <v/>
      </c>
      <c r="C134" s="49">
        <f>IF(D94="","-",+C133+1)</f>
        <v>2047</v>
      </c>
      <c r="D134" s="11">
        <f>IF(F133+SUM(E$100:E133)=D$93,F133,D$93-SUM(E$100:E133))</f>
        <v>0</v>
      </c>
      <c r="E134" s="377">
        <f>IF(+J97&lt;F133,J97,D134)</f>
        <v>0</v>
      </c>
      <c r="F134" s="54">
        <f t="shared" si="84"/>
        <v>0</v>
      </c>
      <c r="G134" s="54">
        <f t="shared" si="78"/>
        <v>0</v>
      </c>
      <c r="H134" s="459">
        <f t="shared" si="74"/>
        <v>0</v>
      </c>
      <c r="I134" s="407">
        <f t="shared" si="79"/>
        <v>0</v>
      </c>
      <c r="J134" s="53">
        <f t="shared" si="80"/>
        <v>0</v>
      </c>
      <c r="K134" s="53"/>
      <c r="L134" s="112"/>
      <c r="M134" s="53">
        <f t="shared" si="81"/>
        <v>0</v>
      </c>
      <c r="N134" s="112"/>
      <c r="O134" s="53">
        <f t="shared" si="82"/>
        <v>0</v>
      </c>
      <c r="P134" s="53">
        <f t="shared" si="83"/>
        <v>0</v>
      </c>
      <c r="Q134" s="1"/>
      <c r="R134" s="1"/>
      <c r="S134" s="1"/>
      <c r="T134" s="1"/>
      <c r="U134" s="1"/>
    </row>
    <row r="135" spans="2:21">
      <c r="B135" t="str">
        <f t="shared" si="77"/>
        <v/>
      </c>
      <c r="C135" s="49">
        <f>IF(D94="","-",+C134+1)</f>
        <v>2048</v>
      </c>
      <c r="D135" s="11">
        <f>IF(F134+SUM(E$100:E134)=D$93,F134,D$93-SUM(E$100:E134))</f>
        <v>0</v>
      </c>
      <c r="E135" s="377">
        <f>IF(+J97&lt;F134,J97,D135)</f>
        <v>0</v>
      </c>
      <c r="F135" s="54">
        <f t="shared" si="84"/>
        <v>0</v>
      </c>
      <c r="G135" s="54">
        <f t="shared" si="78"/>
        <v>0</v>
      </c>
      <c r="H135" s="459">
        <f t="shared" si="74"/>
        <v>0</v>
      </c>
      <c r="I135" s="407">
        <f t="shared" si="79"/>
        <v>0</v>
      </c>
      <c r="J135" s="53">
        <f t="shared" si="80"/>
        <v>0</v>
      </c>
      <c r="K135" s="53"/>
      <c r="L135" s="112"/>
      <c r="M135" s="53">
        <f t="shared" si="81"/>
        <v>0</v>
      </c>
      <c r="N135" s="112"/>
      <c r="O135" s="53">
        <f t="shared" si="82"/>
        <v>0</v>
      </c>
      <c r="P135" s="53">
        <f t="shared" si="83"/>
        <v>0</v>
      </c>
      <c r="Q135" s="1"/>
      <c r="R135" s="1"/>
      <c r="S135" s="1"/>
      <c r="T135" s="1"/>
      <c r="U135" s="1"/>
    </row>
    <row r="136" spans="2:21">
      <c r="B136" t="str">
        <f t="shared" si="77"/>
        <v/>
      </c>
      <c r="C136" s="49">
        <f>IF(D94="","-",+C135+1)</f>
        <v>2049</v>
      </c>
      <c r="D136" s="11">
        <f>IF(F135+SUM(E$100:E135)=D$93,F135,D$93-SUM(E$100:E135))</f>
        <v>0</v>
      </c>
      <c r="E136" s="377">
        <f>IF(+J97&lt;F135,J97,D136)</f>
        <v>0</v>
      </c>
      <c r="F136" s="54">
        <f t="shared" si="84"/>
        <v>0</v>
      </c>
      <c r="G136" s="54">
        <f t="shared" si="78"/>
        <v>0</v>
      </c>
      <c r="H136" s="459">
        <f t="shared" si="74"/>
        <v>0</v>
      </c>
      <c r="I136" s="407">
        <f t="shared" si="79"/>
        <v>0</v>
      </c>
      <c r="J136" s="53">
        <f t="shared" si="80"/>
        <v>0</v>
      </c>
      <c r="K136" s="53"/>
      <c r="L136" s="112"/>
      <c r="M136" s="53">
        <f t="shared" si="81"/>
        <v>0</v>
      </c>
      <c r="N136" s="112"/>
      <c r="O136" s="53">
        <f t="shared" si="82"/>
        <v>0</v>
      </c>
      <c r="P136" s="53">
        <f t="shared" si="83"/>
        <v>0</v>
      </c>
      <c r="Q136" s="1"/>
      <c r="R136" s="1"/>
      <c r="S136" s="1"/>
      <c r="T136" s="1"/>
      <c r="U136" s="1"/>
    </row>
    <row r="137" spans="2:21">
      <c r="B137" t="str">
        <f t="shared" si="77"/>
        <v/>
      </c>
      <c r="C137" s="49">
        <f>IF(D94="","-",+C136+1)</f>
        <v>2050</v>
      </c>
      <c r="D137" s="11">
        <f>IF(F136+SUM(E$100:E136)=D$93,F136,D$93-SUM(E$100:E136))</f>
        <v>0</v>
      </c>
      <c r="E137" s="377">
        <f>IF(+J97&lt;F136,J97,D137)</f>
        <v>0</v>
      </c>
      <c r="F137" s="54">
        <f t="shared" si="84"/>
        <v>0</v>
      </c>
      <c r="G137" s="54">
        <f t="shared" si="78"/>
        <v>0</v>
      </c>
      <c r="H137" s="459">
        <f t="shared" si="74"/>
        <v>0</v>
      </c>
      <c r="I137" s="407">
        <f t="shared" si="79"/>
        <v>0</v>
      </c>
      <c r="J137" s="53">
        <f t="shared" si="80"/>
        <v>0</v>
      </c>
      <c r="K137" s="53"/>
      <c r="L137" s="112"/>
      <c r="M137" s="53">
        <f t="shared" si="81"/>
        <v>0</v>
      </c>
      <c r="N137" s="112"/>
      <c r="O137" s="53">
        <f t="shared" si="82"/>
        <v>0</v>
      </c>
      <c r="P137" s="53">
        <f t="shared" si="83"/>
        <v>0</v>
      </c>
      <c r="Q137" s="1"/>
      <c r="R137" s="1"/>
      <c r="S137" s="1"/>
      <c r="T137" s="1"/>
      <c r="U137" s="1"/>
    </row>
    <row r="138" spans="2:21">
      <c r="B138" t="str">
        <f t="shared" si="77"/>
        <v/>
      </c>
      <c r="C138" s="49">
        <f>IF(D94="","-",+C137+1)</f>
        <v>2051</v>
      </c>
      <c r="D138" s="11">
        <f>IF(F137+SUM(E$100:E137)=D$93,F137,D$93-SUM(E$100:E137))</f>
        <v>0</v>
      </c>
      <c r="E138" s="377">
        <f>IF(+J97&lt;F137,J97,D138)</f>
        <v>0</v>
      </c>
      <c r="F138" s="54">
        <f t="shared" si="84"/>
        <v>0</v>
      </c>
      <c r="G138" s="54">
        <f t="shared" si="78"/>
        <v>0</v>
      </c>
      <c r="H138" s="459">
        <f t="shared" si="74"/>
        <v>0</v>
      </c>
      <c r="I138" s="407">
        <f t="shared" si="79"/>
        <v>0</v>
      </c>
      <c r="J138" s="53">
        <f t="shared" si="80"/>
        <v>0</v>
      </c>
      <c r="K138" s="53"/>
      <c r="L138" s="112"/>
      <c r="M138" s="53">
        <f t="shared" si="81"/>
        <v>0</v>
      </c>
      <c r="N138" s="112"/>
      <c r="O138" s="53">
        <f t="shared" si="82"/>
        <v>0</v>
      </c>
      <c r="P138" s="53">
        <f t="shared" si="83"/>
        <v>0</v>
      </c>
      <c r="Q138" s="1"/>
      <c r="R138" s="1"/>
      <c r="S138" s="1"/>
      <c r="T138" s="1"/>
      <c r="U138" s="1"/>
    </row>
    <row r="139" spans="2:21">
      <c r="B139" t="str">
        <f t="shared" si="77"/>
        <v/>
      </c>
      <c r="C139" s="49">
        <f>IF(D94="","-",+C138+1)</f>
        <v>2052</v>
      </c>
      <c r="D139" s="11">
        <f>IF(F138+SUM(E$100:E138)=D$93,F138,D$93-SUM(E$100:E138))</f>
        <v>0</v>
      </c>
      <c r="E139" s="377">
        <f>IF(+J97&lt;F138,J97,D139)</f>
        <v>0</v>
      </c>
      <c r="F139" s="54">
        <f t="shared" si="84"/>
        <v>0</v>
      </c>
      <c r="G139" s="54">
        <f t="shared" si="78"/>
        <v>0</v>
      </c>
      <c r="H139" s="459">
        <f t="shared" si="74"/>
        <v>0</v>
      </c>
      <c r="I139" s="407">
        <f t="shared" si="79"/>
        <v>0</v>
      </c>
      <c r="J139" s="53">
        <f t="shared" si="80"/>
        <v>0</v>
      </c>
      <c r="K139" s="53"/>
      <c r="L139" s="112"/>
      <c r="M139" s="53">
        <f t="shared" si="81"/>
        <v>0</v>
      </c>
      <c r="N139" s="112"/>
      <c r="O139" s="53">
        <f t="shared" si="82"/>
        <v>0</v>
      </c>
      <c r="P139" s="53">
        <f t="shared" si="83"/>
        <v>0</v>
      </c>
      <c r="Q139" s="1"/>
      <c r="R139" s="1"/>
      <c r="S139" s="1"/>
      <c r="T139" s="1"/>
      <c r="U139" s="1"/>
    </row>
    <row r="140" spans="2:21">
      <c r="B140" t="str">
        <f t="shared" si="77"/>
        <v/>
      </c>
      <c r="C140" s="49">
        <f>IF(D94="","-",+C139+1)</f>
        <v>2053</v>
      </c>
      <c r="D140" s="11">
        <f>IF(F139+SUM(E$100:E139)=D$93,F139,D$93-SUM(E$100:E139))</f>
        <v>0</v>
      </c>
      <c r="E140" s="377">
        <f>IF(+J97&lt;F139,J97,D140)</f>
        <v>0</v>
      </c>
      <c r="F140" s="54">
        <f t="shared" si="84"/>
        <v>0</v>
      </c>
      <c r="G140" s="54">
        <f t="shared" si="78"/>
        <v>0</v>
      </c>
      <c r="H140" s="459">
        <f t="shared" si="74"/>
        <v>0</v>
      </c>
      <c r="I140" s="407">
        <f t="shared" si="79"/>
        <v>0</v>
      </c>
      <c r="J140" s="53">
        <f t="shared" si="80"/>
        <v>0</v>
      </c>
      <c r="K140" s="53"/>
      <c r="L140" s="112"/>
      <c r="M140" s="53">
        <f t="shared" si="81"/>
        <v>0</v>
      </c>
      <c r="N140" s="112"/>
      <c r="O140" s="53">
        <f t="shared" si="82"/>
        <v>0</v>
      </c>
      <c r="P140" s="53">
        <f t="shared" si="83"/>
        <v>0</v>
      </c>
      <c r="Q140" s="1"/>
      <c r="R140" s="1"/>
      <c r="S140" s="1"/>
      <c r="T140" s="1"/>
      <c r="U140" s="1"/>
    </row>
    <row r="141" spans="2:21">
      <c r="B141" t="str">
        <f t="shared" si="77"/>
        <v/>
      </c>
      <c r="C141" s="49">
        <f>IF(D94="","-",+C140+1)</f>
        <v>2054</v>
      </c>
      <c r="D141" s="11">
        <f>IF(F140+SUM(E$100:E140)=D$93,F140,D$93-SUM(E$100:E140))</f>
        <v>0</v>
      </c>
      <c r="E141" s="377">
        <f>IF(+J97&lt;F140,J97,D141)</f>
        <v>0</v>
      </c>
      <c r="F141" s="54">
        <f t="shared" si="84"/>
        <v>0</v>
      </c>
      <c r="G141" s="54">
        <f t="shared" si="78"/>
        <v>0</v>
      </c>
      <c r="H141" s="459">
        <f t="shared" si="74"/>
        <v>0</v>
      </c>
      <c r="I141" s="407">
        <f t="shared" si="79"/>
        <v>0</v>
      </c>
      <c r="J141" s="53">
        <f t="shared" si="80"/>
        <v>0</v>
      </c>
      <c r="K141" s="53"/>
      <c r="L141" s="112"/>
      <c r="M141" s="53">
        <f t="shared" si="81"/>
        <v>0</v>
      </c>
      <c r="N141" s="112"/>
      <c r="O141" s="53">
        <f t="shared" si="82"/>
        <v>0</v>
      </c>
      <c r="P141" s="53">
        <f t="shared" si="83"/>
        <v>0</v>
      </c>
      <c r="Q141" s="1"/>
      <c r="R141" s="1"/>
      <c r="S141" s="1"/>
      <c r="T141" s="1"/>
      <c r="U141" s="1"/>
    </row>
    <row r="142" spans="2:21">
      <c r="B142" t="str">
        <f t="shared" si="77"/>
        <v/>
      </c>
      <c r="C142" s="49">
        <f>IF(D94="","-",+C141+1)</f>
        <v>2055</v>
      </c>
      <c r="D142" s="11">
        <f>IF(F141+SUM(E$100:E141)=D$93,F141,D$93-SUM(E$100:E141))</f>
        <v>0</v>
      </c>
      <c r="E142" s="377">
        <f>IF(+J97&lt;F141,J97,D142)</f>
        <v>0</v>
      </c>
      <c r="F142" s="54">
        <f t="shared" si="84"/>
        <v>0</v>
      </c>
      <c r="G142" s="54">
        <f t="shared" si="78"/>
        <v>0</v>
      </c>
      <c r="H142" s="459">
        <f t="shared" si="74"/>
        <v>0</v>
      </c>
      <c r="I142" s="407">
        <f t="shared" si="79"/>
        <v>0</v>
      </c>
      <c r="J142" s="53">
        <f t="shared" si="80"/>
        <v>0</v>
      </c>
      <c r="K142" s="53"/>
      <c r="L142" s="112"/>
      <c r="M142" s="53">
        <f t="shared" si="81"/>
        <v>0</v>
      </c>
      <c r="N142" s="112"/>
      <c r="O142" s="53">
        <f t="shared" si="82"/>
        <v>0</v>
      </c>
      <c r="P142" s="53">
        <f t="shared" si="83"/>
        <v>0</v>
      </c>
      <c r="Q142" s="1"/>
      <c r="R142" s="1"/>
      <c r="S142" s="1"/>
      <c r="T142" s="1"/>
      <c r="U142" s="1"/>
    </row>
    <row r="143" spans="2:21">
      <c r="B143" t="str">
        <f t="shared" si="77"/>
        <v/>
      </c>
      <c r="C143" s="49">
        <f>IF(D94="","-",+C142+1)</f>
        <v>2056</v>
      </c>
      <c r="D143" s="11">
        <f>IF(F142+SUM(E$100:E142)=D$93,F142,D$93-SUM(E$100:E142))</f>
        <v>0</v>
      </c>
      <c r="E143" s="377">
        <f>IF(+J97&lt;F142,J97,D143)</f>
        <v>0</v>
      </c>
      <c r="F143" s="54">
        <f t="shared" si="84"/>
        <v>0</v>
      </c>
      <c r="G143" s="54">
        <f t="shared" si="78"/>
        <v>0</v>
      </c>
      <c r="H143" s="459">
        <f t="shared" si="74"/>
        <v>0</v>
      </c>
      <c r="I143" s="407">
        <f t="shared" si="79"/>
        <v>0</v>
      </c>
      <c r="J143" s="53">
        <f t="shared" si="80"/>
        <v>0</v>
      </c>
      <c r="K143" s="53"/>
      <c r="L143" s="112"/>
      <c r="M143" s="53">
        <f t="shared" si="81"/>
        <v>0</v>
      </c>
      <c r="N143" s="112"/>
      <c r="O143" s="53">
        <f t="shared" si="82"/>
        <v>0</v>
      </c>
      <c r="P143" s="53">
        <f t="shared" si="83"/>
        <v>0</v>
      </c>
      <c r="Q143" s="1"/>
      <c r="R143" s="1"/>
      <c r="S143" s="1"/>
      <c r="T143" s="1"/>
      <c r="U143" s="1"/>
    </row>
    <row r="144" spans="2:21">
      <c r="B144" t="str">
        <f t="shared" si="77"/>
        <v/>
      </c>
      <c r="C144" s="49">
        <f>IF(D94="","-",+C143+1)</f>
        <v>2057</v>
      </c>
      <c r="D144" s="11">
        <f>IF(F143+SUM(E$100:E143)=D$93,F143,D$93-SUM(E$100:E143))</f>
        <v>0</v>
      </c>
      <c r="E144" s="377">
        <f>IF(+J97&lt;F143,J97,D144)</f>
        <v>0</v>
      </c>
      <c r="F144" s="54">
        <f t="shared" si="84"/>
        <v>0</v>
      </c>
      <c r="G144" s="54">
        <f t="shared" si="78"/>
        <v>0</v>
      </c>
      <c r="H144" s="459">
        <f t="shared" si="74"/>
        <v>0</v>
      </c>
      <c r="I144" s="407">
        <f t="shared" si="79"/>
        <v>0</v>
      </c>
      <c r="J144" s="53">
        <f t="shared" si="80"/>
        <v>0</v>
      </c>
      <c r="K144" s="53"/>
      <c r="L144" s="112"/>
      <c r="M144" s="53">
        <f t="shared" si="81"/>
        <v>0</v>
      </c>
      <c r="N144" s="112"/>
      <c r="O144" s="53">
        <f t="shared" si="82"/>
        <v>0</v>
      </c>
      <c r="P144" s="53">
        <f t="shared" si="83"/>
        <v>0</v>
      </c>
      <c r="Q144" s="1"/>
      <c r="R144" s="1"/>
      <c r="S144" s="1"/>
      <c r="T144" s="1"/>
      <c r="U144" s="1"/>
    </row>
    <row r="145" spans="2:21">
      <c r="B145" t="str">
        <f t="shared" si="77"/>
        <v/>
      </c>
      <c r="C145" s="49">
        <f>IF(D94="","-",+C144+1)</f>
        <v>2058</v>
      </c>
      <c r="D145" s="11">
        <f>IF(F144+SUM(E$100:E144)=D$93,F144,D$93-SUM(E$100:E144))</f>
        <v>0</v>
      </c>
      <c r="E145" s="377">
        <f>IF(+J97&lt;F144,J97,D145)</f>
        <v>0</v>
      </c>
      <c r="F145" s="54">
        <f t="shared" si="84"/>
        <v>0</v>
      </c>
      <c r="G145" s="54">
        <f t="shared" si="78"/>
        <v>0</v>
      </c>
      <c r="H145" s="459">
        <f t="shared" si="74"/>
        <v>0</v>
      </c>
      <c r="I145" s="407">
        <f t="shared" si="79"/>
        <v>0</v>
      </c>
      <c r="J145" s="53">
        <f t="shared" si="80"/>
        <v>0</v>
      </c>
      <c r="K145" s="53"/>
      <c r="L145" s="112"/>
      <c r="M145" s="53">
        <f t="shared" si="81"/>
        <v>0</v>
      </c>
      <c r="N145" s="112"/>
      <c r="O145" s="53">
        <f t="shared" si="82"/>
        <v>0</v>
      </c>
      <c r="P145" s="53">
        <f t="shared" si="83"/>
        <v>0</v>
      </c>
      <c r="Q145" s="1"/>
      <c r="R145" s="1"/>
      <c r="S145" s="1"/>
      <c r="T145" s="1"/>
      <c r="U145" s="1"/>
    </row>
    <row r="146" spans="2:21">
      <c r="B146" t="str">
        <f t="shared" si="77"/>
        <v/>
      </c>
      <c r="C146" s="49">
        <f>IF(D94="","-",+C145+1)</f>
        <v>2059</v>
      </c>
      <c r="D146" s="11">
        <f>IF(F145+SUM(E$100:E145)=D$93,F145,D$93-SUM(E$100:E145))</f>
        <v>0</v>
      </c>
      <c r="E146" s="377">
        <f>IF(+J97&lt;F145,J97,D146)</f>
        <v>0</v>
      </c>
      <c r="F146" s="54">
        <f t="shared" si="84"/>
        <v>0</v>
      </c>
      <c r="G146" s="54">
        <f t="shared" si="78"/>
        <v>0</v>
      </c>
      <c r="H146" s="459">
        <f t="shared" si="74"/>
        <v>0</v>
      </c>
      <c r="I146" s="407">
        <f t="shared" si="79"/>
        <v>0</v>
      </c>
      <c r="J146" s="53">
        <f t="shared" si="80"/>
        <v>0</v>
      </c>
      <c r="K146" s="53"/>
      <c r="L146" s="112"/>
      <c r="M146" s="53">
        <f t="shared" si="81"/>
        <v>0</v>
      </c>
      <c r="N146" s="112"/>
      <c r="O146" s="53">
        <f t="shared" si="82"/>
        <v>0</v>
      </c>
      <c r="P146" s="53">
        <f t="shared" si="83"/>
        <v>0</v>
      </c>
      <c r="Q146" s="1"/>
      <c r="R146" s="1"/>
      <c r="S146" s="1"/>
      <c r="T146" s="1"/>
      <c r="U146" s="1"/>
    </row>
    <row r="147" spans="2:21">
      <c r="B147" t="str">
        <f t="shared" si="77"/>
        <v/>
      </c>
      <c r="C147" s="49">
        <f>IF(D94="","-",+C146+1)</f>
        <v>2060</v>
      </c>
      <c r="D147" s="11">
        <f>IF(F146+SUM(E$100:E146)=D$93,F146,D$93-SUM(E$100:E146))</f>
        <v>0</v>
      </c>
      <c r="E147" s="377">
        <f>IF(+J97&lt;F146,J97,D147)</f>
        <v>0</v>
      </c>
      <c r="F147" s="54">
        <f t="shared" si="84"/>
        <v>0</v>
      </c>
      <c r="G147" s="54">
        <f t="shared" si="78"/>
        <v>0</v>
      </c>
      <c r="H147" s="459">
        <f t="shared" si="74"/>
        <v>0</v>
      </c>
      <c r="I147" s="407">
        <f t="shared" si="79"/>
        <v>0</v>
      </c>
      <c r="J147" s="53">
        <f t="shared" si="80"/>
        <v>0</v>
      </c>
      <c r="K147" s="53"/>
      <c r="L147" s="112"/>
      <c r="M147" s="53">
        <f t="shared" si="81"/>
        <v>0</v>
      </c>
      <c r="N147" s="112"/>
      <c r="O147" s="53">
        <f t="shared" si="82"/>
        <v>0</v>
      </c>
      <c r="P147" s="53">
        <f t="shared" si="83"/>
        <v>0</v>
      </c>
      <c r="Q147" s="1"/>
      <c r="R147" s="1"/>
      <c r="S147" s="1"/>
      <c r="T147" s="1"/>
      <c r="U147" s="1"/>
    </row>
    <row r="148" spans="2:21">
      <c r="B148" t="str">
        <f t="shared" si="77"/>
        <v/>
      </c>
      <c r="C148" s="49">
        <f>IF(D94="","-",+C147+1)</f>
        <v>2061</v>
      </c>
      <c r="D148" s="11">
        <f>IF(F147+SUM(E$100:E147)=D$93,F147,D$93-SUM(E$100:E147))</f>
        <v>0</v>
      </c>
      <c r="E148" s="377">
        <f>IF(+J97&lt;F147,J97,D148)</f>
        <v>0</v>
      </c>
      <c r="F148" s="54">
        <f t="shared" si="84"/>
        <v>0</v>
      </c>
      <c r="G148" s="54">
        <f t="shared" si="78"/>
        <v>0</v>
      </c>
      <c r="H148" s="459">
        <f t="shared" si="74"/>
        <v>0</v>
      </c>
      <c r="I148" s="407">
        <f t="shared" si="79"/>
        <v>0</v>
      </c>
      <c r="J148" s="53">
        <f t="shared" si="80"/>
        <v>0</v>
      </c>
      <c r="K148" s="53"/>
      <c r="L148" s="112"/>
      <c r="M148" s="53">
        <f t="shared" si="81"/>
        <v>0</v>
      </c>
      <c r="N148" s="112"/>
      <c r="O148" s="53">
        <f t="shared" si="82"/>
        <v>0</v>
      </c>
      <c r="P148" s="53">
        <f t="shared" si="83"/>
        <v>0</v>
      </c>
      <c r="Q148" s="1"/>
      <c r="R148" s="1"/>
      <c r="S148" s="1"/>
      <c r="T148" s="1"/>
      <c r="U148" s="1"/>
    </row>
    <row r="149" spans="2:21">
      <c r="B149" t="str">
        <f t="shared" si="77"/>
        <v/>
      </c>
      <c r="C149" s="49">
        <f>IF(D94="","-",+C148+1)</f>
        <v>2062</v>
      </c>
      <c r="D149" s="11">
        <f>IF(F148+SUM(E$100:E148)=D$93,F148,D$93-SUM(E$100:E148))</f>
        <v>0</v>
      </c>
      <c r="E149" s="377">
        <f>IF(+J97&lt;F148,J97,D149)</f>
        <v>0</v>
      </c>
      <c r="F149" s="54">
        <f t="shared" si="84"/>
        <v>0</v>
      </c>
      <c r="G149" s="54">
        <f t="shared" si="78"/>
        <v>0</v>
      </c>
      <c r="H149" s="459">
        <f t="shared" si="74"/>
        <v>0</v>
      </c>
      <c r="I149" s="407">
        <f t="shared" si="79"/>
        <v>0</v>
      </c>
      <c r="J149" s="53">
        <f t="shared" si="80"/>
        <v>0</v>
      </c>
      <c r="K149" s="53"/>
      <c r="L149" s="112"/>
      <c r="M149" s="53">
        <f t="shared" si="81"/>
        <v>0</v>
      </c>
      <c r="N149" s="112"/>
      <c r="O149" s="53">
        <f t="shared" si="82"/>
        <v>0</v>
      </c>
      <c r="P149" s="53">
        <f t="shared" si="83"/>
        <v>0</v>
      </c>
      <c r="Q149" s="1"/>
      <c r="R149" s="1"/>
      <c r="S149" s="1"/>
      <c r="T149" s="1"/>
      <c r="U149" s="1"/>
    </row>
    <row r="150" spans="2:21">
      <c r="B150" t="str">
        <f t="shared" si="77"/>
        <v/>
      </c>
      <c r="C150" s="49">
        <f>IF(D94="","-",+C149+1)</f>
        <v>2063</v>
      </c>
      <c r="D150" s="11">
        <f>IF(F149+SUM(E$100:E149)=D$93,F149,D$93-SUM(E$100:E149))</f>
        <v>0</v>
      </c>
      <c r="E150" s="377">
        <f>IF(+J97&lt;F149,J97,D150)</f>
        <v>0</v>
      </c>
      <c r="F150" s="54">
        <f t="shared" si="84"/>
        <v>0</v>
      </c>
      <c r="G150" s="54">
        <f t="shared" si="78"/>
        <v>0</v>
      </c>
      <c r="H150" s="459">
        <f t="shared" si="74"/>
        <v>0</v>
      </c>
      <c r="I150" s="407">
        <f t="shared" si="79"/>
        <v>0</v>
      </c>
      <c r="J150" s="53">
        <f t="shared" si="80"/>
        <v>0</v>
      </c>
      <c r="K150" s="53"/>
      <c r="L150" s="112"/>
      <c r="M150" s="53">
        <f t="shared" si="81"/>
        <v>0</v>
      </c>
      <c r="N150" s="112"/>
      <c r="O150" s="53">
        <f t="shared" si="82"/>
        <v>0</v>
      </c>
      <c r="P150" s="53">
        <f t="shared" si="83"/>
        <v>0</v>
      </c>
      <c r="Q150" s="1"/>
      <c r="R150" s="1"/>
      <c r="S150" s="1"/>
      <c r="T150" s="1"/>
      <c r="U150" s="1"/>
    </row>
    <row r="151" spans="2:21">
      <c r="B151" t="str">
        <f t="shared" si="77"/>
        <v/>
      </c>
      <c r="C151" s="49">
        <f>IF(D94="","-",+C150+1)</f>
        <v>2064</v>
      </c>
      <c r="D151" s="11">
        <f>IF(F150+SUM(E$100:E150)=D$93,F150,D$93-SUM(E$100:E150))</f>
        <v>0</v>
      </c>
      <c r="E151" s="377">
        <f>IF(+J97&lt;F150,J97,D151)</f>
        <v>0</v>
      </c>
      <c r="F151" s="54">
        <f t="shared" si="84"/>
        <v>0</v>
      </c>
      <c r="G151" s="54">
        <f t="shared" si="78"/>
        <v>0</v>
      </c>
      <c r="H151" s="459">
        <f t="shared" si="74"/>
        <v>0</v>
      </c>
      <c r="I151" s="407">
        <f t="shared" si="79"/>
        <v>0</v>
      </c>
      <c r="J151" s="53">
        <f t="shared" si="80"/>
        <v>0</v>
      </c>
      <c r="K151" s="53"/>
      <c r="L151" s="112"/>
      <c r="M151" s="53">
        <f t="shared" si="81"/>
        <v>0</v>
      </c>
      <c r="N151" s="112"/>
      <c r="O151" s="53">
        <f t="shared" si="82"/>
        <v>0</v>
      </c>
      <c r="P151" s="53">
        <f t="shared" si="83"/>
        <v>0</v>
      </c>
      <c r="Q151" s="1"/>
      <c r="R151" s="1"/>
      <c r="S151" s="1"/>
      <c r="T151" s="1"/>
      <c r="U151" s="1"/>
    </row>
    <row r="152" spans="2:21">
      <c r="B152" t="str">
        <f t="shared" si="77"/>
        <v/>
      </c>
      <c r="C152" s="49">
        <f>IF(D94="","-",+C151+1)</f>
        <v>2065</v>
      </c>
      <c r="D152" s="11">
        <f>IF(F151+SUM(E$100:E151)=D$93,F151,D$93-SUM(E$100:E151))</f>
        <v>0</v>
      </c>
      <c r="E152" s="377">
        <f>IF(+J97&lt;F151,J97,D152)</f>
        <v>0</v>
      </c>
      <c r="F152" s="54">
        <f t="shared" si="84"/>
        <v>0</v>
      </c>
      <c r="G152" s="54">
        <f t="shared" si="78"/>
        <v>0</v>
      </c>
      <c r="H152" s="459">
        <f t="shared" si="74"/>
        <v>0</v>
      </c>
      <c r="I152" s="407">
        <f t="shared" si="79"/>
        <v>0</v>
      </c>
      <c r="J152" s="53">
        <f t="shared" si="80"/>
        <v>0</v>
      </c>
      <c r="K152" s="53"/>
      <c r="L152" s="112"/>
      <c r="M152" s="53">
        <f t="shared" si="81"/>
        <v>0</v>
      </c>
      <c r="N152" s="112"/>
      <c r="O152" s="53">
        <f t="shared" si="82"/>
        <v>0</v>
      </c>
      <c r="P152" s="53">
        <f t="shared" si="83"/>
        <v>0</v>
      </c>
      <c r="Q152" s="1"/>
      <c r="R152" s="1"/>
      <c r="S152" s="1"/>
      <c r="T152" s="1"/>
      <c r="U152" s="1"/>
    </row>
    <row r="153" spans="2:21">
      <c r="B153" t="str">
        <f t="shared" si="77"/>
        <v/>
      </c>
      <c r="C153" s="49">
        <f>IF(D94="","-",+C152+1)</f>
        <v>2066</v>
      </c>
      <c r="D153" s="11">
        <f>IF(F152+SUM(E$100:E152)=D$93,F152,D$93-SUM(E$100:E152))</f>
        <v>0</v>
      </c>
      <c r="E153" s="377">
        <f>IF(+J97&lt;F152,J97,D153)</f>
        <v>0</v>
      </c>
      <c r="F153" s="54">
        <f t="shared" si="84"/>
        <v>0</v>
      </c>
      <c r="G153" s="54">
        <f t="shared" si="78"/>
        <v>0</v>
      </c>
      <c r="H153" s="459">
        <f t="shared" si="74"/>
        <v>0</v>
      </c>
      <c r="I153" s="407">
        <f t="shared" si="79"/>
        <v>0</v>
      </c>
      <c r="J153" s="53">
        <f t="shared" si="80"/>
        <v>0</v>
      </c>
      <c r="K153" s="53"/>
      <c r="L153" s="112"/>
      <c r="M153" s="53">
        <f t="shared" si="81"/>
        <v>0</v>
      </c>
      <c r="N153" s="112"/>
      <c r="O153" s="53">
        <f t="shared" si="82"/>
        <v>0</v>
      </c>
      <c r="P153" s="53">
        <f t="shared" si="83"/>
        <v>0</v>
      </c>
      <c r="Q153" s="1"/>
      <c r="R153" s="1"/>
      <c r="S153" s="1"/>
      <c r="T153" s="1"/>
      <c r="U153" s="1"/>
    </row>
    <row r="154" spans="2:21">
      <c r="B154" t="str">
        <f t="shared" si="77"/>
        <v/>
      </c>
      <c r="C154" s="49">
        <f>IF(D94="","-",+C153+1)</f>
        <v>2067</v>
      </c>
      <c r="D154" s="11">
        <f>IF(F153+SUM(E$100:E153)=D$93,F153,D$93-SUM(E$100:E153))</f>
        <v>0</v>
      </c>
      <c r="E154" s="377">
        <f>IF(+J97&lt;F153,J97,D154)</f>
        <v>0</v>
      </c>
      <c r="F154" s="54">
        <f t="shared" si="84"/>
        <v>0</v>
      </c>
      <c r="G154" s="54">
        <f t="shared" si="78"/>
        <v>0</v>
      </c>
      <c r="H154" s="459">
        <f t="shared" si="74"/>
        <v>0</v>
      </c>
      <c r="I154" s="407">
        <f t="shared" si="79"/>
        <v>0</v>
      </c>
      <c r="J154" s="53">
        <f t="shared" si="80"/>
        <v>0</v>
      </c>
      <c r="K154" s="53"/>
      <c r="L154" s="112"/>
      <c r="M154" s="53">
        <f t="shared" si="81"/>
        <v>0</v>
      </c>
      <c r="N154" s="112"/>
      <c r="O154" s="53">
        <f t="shared" si="82"/>
        <v>0</v>
      </c>
      <c r="P154" s="53">
        <f t="shared" si="83"/>
        <v>0</v>
      </c>
      <c r="Q154" s="1"/>
      <c r="R154" s="1"/>
      <c r="S154" s="1"/>
      <c r="T154" s="1"/>
      <c r="U154" s="1"/>
    </row>
    <row r="155" spans="2:21" ht="13.5" thickBot="1">
      <c r="B155" t="str">
        <f t="shared" si="77"/>
        <v/>
      </c>
      <c r="C155" s="58">
        <f>IF(D94="","-",+C154+1)</f>
        <v>2068</v>
      </c>
      <c r="D155" s="59">
        <f>IF(F154+SUM(E$100:E154)=D$93,F154,D$93-SUM(E$100:E154))</f>
        <v>0</v>
      </c>
      <c r="E155" s="389">
        <f>IF(+J97&lt;F154,J97,D155)</f>
        <v>0</v>
      </c>
      <c r="F155" s="59">
        <f t="shared" si="84"/>
        <v>0</v>
      </c>
      <c r="G155" s="59">
        <f t="shared" si="78"/>
        <v>0</v>
      </c>
      <c r="H155" s="459">
        <f t="shared" si="74"/>
        <v>0</v>
      </c>
      <c r="I155" s="408">
        <f t="shared" si="79"/>
        <v>0</v>
      </c>
      <c r="J155" s="63">
        <f t="shared" si="80"/>
        <v>0</v>
      </c>
      <c r="K155" s="53"/>
      <c r="L155" s="113"/>
      <c r="M155" s="63">
        <f t="shared" si="81"/>
        <v>0</v>
      </c>
      <c r="N155" s="113"/>
      <c r="O155" s="63">
        <f t="shared" si="82"/>
        <v>0</v>
      </c>
      <c r="P155" s="63">
        <f t="shared" si="83"/>
        <v>0</v>
      </c>
      <c r="Q155" s="1"/>
      <c r="R155" s="1"/>
      <c r="S155" s="1"/>
      <c r="T155" s="1"/>
      <c r="U155" s="1"/>
    </row>
    <row r="156" spans="2:21">
      <c r="C156" s="11" t="s">
        <v>75</v>
      </c>
      <c r="D156" s="242"/>
      <c r="E156" s="242">
        <f>SUM(E100:E155)</f>
        <v>28914236</v>
      </c>
      <c r="F156" s="242"/>
      <c r="G156" s="242"/>
      <c r="H156" s="242">
        <f>SUM(H100:H155)</f>
        <v>79752427.659331888</v>
      </c>
      <c r="I156" s="242">
        <f>SUM(I100:I155)</f>
        <v>79752427.659331888</v>
      </c>
      <c r="J156" s="242">
        <f>SUM(J100:J155)</f>
        <v>0</v>
      </c>
      <c r="K156" s="242"/>
      <c r="L156" s="242"/>
      <c r="M156" s="242"/>
      <c r="N156" s="242"/>
      <c r="O156" s="242"/>
      <c r="P156" s="1"/>
      <c r="Q156" s="1"/>
      <c r="R156" s="1"/>
      <c r="S156" s="1"/>
      <c r="T156" s="1"/>
      <c r="U156" s="1"/>
    </row>
    <row r="157" spans="2:21">
      <c r="D157" s="2"/>
      <c r="E157" s="1"/>
      <c r="F157" s="1"/>
      <c r="G157" s="1"/>
      <c r="H157" s="1"/>
      <c r="I157" s="260"/>
      <c r="J157" s="260"/>
      <c r="K157" s="242"/>
      <c r="L157" s="260"/>
      <c r="M157" s="260"/>
      <c r="N157" s="260"/>
      <c r="O157" s="260"/>
      <c r="P157" s="1"/>
      <c r="Q157" s="1"/>
      <c r="R157" s="1"/>
      <c r="S157" s="1"/>
      <c r="T157" s="1"/>
      <c r="U157" s="1"/>
    </row>
    <row r="158" spans="2:21">
      <c r="C158" s="83" t="s">
        <v>90</v>
      </c>
      <c r="D158" s="2"/>
      <c r="E158" s="1"/>
      <c r="F158" s="1"/>
      <c r="G158" s="1"/>
      <c r="H158" s="1"/>
      <c r="I158" s="260"/>
      <c r="J158" s="260"/>
      <c r="K158" s="242"/>
      <c r="L158" s="260"/>
      <c r="M158" s="260"/>
      <c r="N158" s="260"/>
      <c r="O158" s="260"/>
      <c r="P158" s="1"/>
      <c r="Q158" s="1"/>
      <c r="R158" s="1"/>
      <c r="S158" s="1"/>
      <c r="T158" s="1"/>
      <c r="U158" s="1"/>
    </row>
    <row r="159" spans="2:21">
      <c r="D159" s="2"/>
      <c r="E159" s="1"/>
      <c r="F159" s="1"/>
      <c r="G159" s="1"/>
      <c r="H159" s="1"/>
      <c r="I159" s="260"/>
      <c r="J159" s="260"/>
      <c r="K159" s="242"/>
      <c r="L159" s="260"/>
      <c r="M159" s="260"/>
      <c r="N159" s="260"/>
      <c r="O159" s="260"/>
      <c r="P159" s="1"/>
      <c r="Q159" s="1"/>
      <c r="R159" s="1"/>
      <c r="S159" s="1"/>
      <c r="T159" s="1"/>
      <c r="U159" s="1"/>
    </row>
    <row r="160" spans="2:21">
      <c r="C160" s="29" t="s">
        <v>96</v>
      </c>
      <c r="D160" s="11"/>
      <c r="E160" s="11"/>
      <c r="F160" s="11"/>
      <c r="G160" s="11"/>
      <c r="H160" s="242"/>
      <c r="I160" s="242"/>
      <c r="J160" s="64"/>
      <c r="K160" s="64"/>
      <c r="L160" s="64"/>
      <c r="M160" s="64"/>
      <c r="N160" s="64"/>
      <c r="O160" s="64"/>
      <c r="P160" s="1"/>
      <c r="Q160" s="1"/>
      <c r="R160" s="1"/>
      <c r="S160" s="1"/>
      <c r="T160" s="1"/>
      <c r="U160" s="1"/>
    </row>
    <row r="161" spans="3:21">
      <c r="C161" s="84" t="s">
        <v>76</v>
      </c>
      <c r="D161" s="11"/>
      <c r="E161" s="11"/>
      <c r="F161" s="11"/>
      <c r="G161" s="11"/>
      <c r="H161" s="242"/>
      <c r="I161" s="242"/>
      <c r="J161" s="64"/>
      <c r="K161" s="64"/>
      <c r="L161" s="64"/>
      <c r="M161" s="64"/>
      <c r="N161" s="64"/>
      <c r="O161" s="64"/>
      <c r="P161" s="1"/>
      <c r="Q161" s="1"/>
      <c r="R161" s="1"/>
      <c r="S161" s="1"/>
      <c r="T161" s="1"/>
      <c r="U161" s="1"/>
    </row>
    <row r="162" spans="3:21">
      <c r="C162" s="84" t="s">
        <v>77</v>
      </c>
      <c r="D162" s="11"/>
      <c r="E162" s="11"/>
      <c r="F162" s="11"/>
      <c r="G162" s="11"/>
      <c r="H162" s="242"/>
      <c r="I162" s="242"/>
      <c r="J162" s="64"/>
      <c r="K162" s="64"/>
      <c r="L162" s="64"/>
      <c r="M162" s="64"/>
      <c r="N162" s="64"/>
      <c r="O162" s="64"/>
      <c r="P162" s="1"/>
      <c r="Q162" s="1"/>
      <c r="R162" s="1"/>
      <c r="S162" s="1"/>
      <c r="T162" s="1"/>
      <c r="U162" s="1"/>
    </row>
    <row r="163" spans="3:21" ht="18">
      <c r="C163" s="84"/>
      <c r="D163" s="11"/>
      <c r="E163" s="11"/>
      <c r="F163" s="11"/>
      <c r="G163" s="11"/>
      <c r="H163" s="242"/>
      <c r="I163" s="242"/>
      <c r="J163" s="64"/>
      <c r="K163" s="64"/>
      <c r="L163" s="64"/>
      <c r="M163" s="64"/>
      <c r="N163" s="64"/>
      <c r="P163" s="95" t="s">
        <v>129</v>
      </c>
      <c r="Q163" s="1"/>
      <c r="R163" s="1"/>
      <c r="S163" s="1"/>
      <c r="T163" s="1"/>
      <c r="U163" s="1"/>
    </row>
  </sheetData>
  <phoneticPr fontId="0" type="noConversion"/>
  <conditionalFormatting sqref="C17:C73">
    <cfRule type="cellIs" dxfId="43" priority="1" stopIfTrue="1" operator="equal">
      <formula>$I$10</formula>
    </cfRule>
  </conditionalFormatting>
  <conditionalFormatting sqref="C100:C155">
    <cfRule type="cellIs" dxfId="42" priority="2" stopIfTrue="1" operator="equal">
      <formula>$J$93</formula>
    </cfRule>
  </conditionalFormatting>
  <pageMargins left="0.5" right="0.25" top="1" bottom="0.25" header="0.25" footer="0.5"/>
  <pageSetup scale="47" fitToHeight="0" orientation="landscape" horizontalDpi="1200" verticalDpi="1200" r:id="rId1"/>
  <headerFooter alignWithMargins="0">
    <oddHeader xml:space="preserve">&amp;R&amp;16AEPTCo - SPP Formula Rate
&amp;A TCOS - Worksheets F and G
Section IV -- (BPU Project Tables)
Page: &amp;P of &amp;N
</oddHeader>
    <oddFooter>&amp;L&amp;A</oddFooter>
  </headerFooter>
  <rowBreaks count="1" manualBreakCount="1">
    <brk id="83" max="1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a06342d-ce85-4729-8251-347f0ba4f840">
      <Terms xmlns="http://schemas.microsoft.com/office/infopath/2007/PartnerControls"/>
    </lcf76f155ced4ddcb4097134ff3c332f>
    <TaxCatchAll xmlns="b6888f76-1100-40b0-929b-1efe9044426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49C77599AAFD4B8FFD850D55630F3C" ma:contentTypeVersion="11" ma:contentTypeDescription="Create a new document." ma:contentTypeScope="" ma:versionID="ad751a9f435e1866f9f8a73a34278f13">
  <xsd:schema xmlns:xsd="http://www.w3.org/2001/XMLSchema" xmlns:xs="http://www.w3.org/2001/XMLSchema" xmlns:p="http://schemas.microsoft.com/office/2006/metadata/properties" xmlns:ns2="6a06342d-ce85-4729-8251-347f0ba4f840" xmlns:ns3="b6888f76-1100-40b0-929b-1efe9044426d" targetNamespace="http://schemas.microsoft.com/office/2006/metadata/properties" ma:root="true" ma:fieldsID="e425485e64401a05f4c6dac9240526dc" ns2:_="" ns3:_="">
    <xsd:import namespace="6a06342d-ce85-4729-8251-347f0ba4f840"/>
    <xsd:import namespace="b6888f76-1100-40b0-929b-1efe9044426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06342d-ce85-4729-8251-347f0ba4f8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fefa54f2-5b03-49c6-9483-51c08a9736b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6888f76-1100-40b0-929b-1efe9044426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b0cac33-65cc-488e-b290-aff2b08f7242}" ma:internalName="TaxCatchAll" ma:showField="CatchAllData" ma:web="b6888f76-1100-40b0-929b-1efe904442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WrappedLabelHistory xmlns:xsi="http://www.w3.org/2001/XMLSchema-instance" xmlns:xsd="http://www.w3.org/2001/XMLSchema" xmlns="http://www.boldonjames.com/2016/02/Classifier/internal/wrappedLabelHistory">
  <Value>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lOWMwYjhkNy1iZGI0LTRmZDMtYjYyYS1mNTAzMjdhYWVmY2UiIG9yaWdpbj0iYXV0b1NlbGVjdGVkU3VnZ2VzdGlvbiI+PGVsZW1lbnQgdWlkPSI1MGMzMTgyNC0wNzgwLTQ5MTAtODdkMS1lYWFmZmQxODJkNDIiIHZhbHVlPSIiIHhtbG5zPSJodHRwOi8vd3d3LmJvbGRvbmphbWVzLmNvbS8yMDA4LzAxL3NpZS9pbnRlcm5hbC9sYWJlbCIgLz48ZWxlbWVudCB1aWQ9ImM2NDIxOGFiLWI4ZDEtNDBiNi1hNDc4LWNiOGJlMWUxMGVjYyIgdmFsdWU9IiIgeG1sbnM9Imh0dHA6Ly93d3cuYm9sZG9uamFtZXMuY29tLzIwMDgvMDEvc2llL2ludGVybmFsL2xhYmVsIiAvPjwvc2lzbD48VXNlck5hbWU+Q09SUFxzMTc3MDQwPC9Vc2VyTmFtZT48RGF0ZVRpbWU+My84LzIwMjIgMTozNjowOCBQTTwvRGF0ZVRpbWU+PExhYmVsU3RyaW5nPkFFUCBJbnRlcm5hbDwvTGFiZWxTdHJpbmc+PC9pdGVtPjxpdGVtPjxzaXNsIHNpc2xWZXJzaW9uPSIwIiBwb2xpY3k9ImU5YzBiOGQ3LWJkYjQtNGZkMy1iNjJhLWY1MDMyN2FhZWZjZSIgb3JpZ2luPSJ1c2VyU2VsZWN0ZWQiPjxlbGVtZW50IHVpZD0iNTBjMzE4MjQtMDc4MC00OTEwLTg3ZDEtZWFhZmZkMTgyZDQyIiB2YWx1ZT0iIiB4bWxucz0iaHR0cDovL3d3dy5ib2xkb25qYW1lcy5jb20vMjAwOC8wMS9zaWUvaW50ZXJuYWwvbGFiZWwiIC8+PC9zaXNsPjxVc2VyTmFtZT5DT1JQXHMxNzcwNDA8L1VzZXJOYW1lPjxEYXRlVGltZT41LzI0LzIwMjIgMzozNDowNSBQTTwvRGF0ZVRpbWU+PExhYmVsU3RyaW5nPkFFUCBJbnRlcm5hbDwvTGFiZWxTdHJpbmc+PC9pdGVtPjwvbGFiZWxIaXN0b3J5Pg==</Value>
</WrappedLabelHistory>
</file>

<file path=customXml/item5.xml><?xml version="1.0" encoding="utf-8"?>
<sisl xmlns:xsd="http://www.w3.org/2001/XMLSchema" xmlns:xsi="http://www.w3.org/2001/XMLSchema-instance" xmlns="http://www.boldonjames.com/2008/01/sie/internal/label" sislVersion="0" policy="e9c0b8d7-bdb4-4fd3-b62a-f50327aaefce" origin="userSelected">
  <element uid="50c31824-0780-4910-87d1-eaaffd182d42" value=""/>
</sisl>
</file>

<file path=customXml/itemProps1.xml><?xml version="1.0" encoding="utf-8"?>
<ds:datastoreItem xmlns:ds="http://schemas.openxmlformats.org/officeDocument/2006/customXml" ds:itemID="{2C95D5FC-B429-4A33-B746-F311B161A458}">
  <ds:schemaRefs>
    <ds:schemaRef ds:uri="http://schemas.microsoft.com/sharepoint/v3/contenttype/forms"/>
  </ds:schemaRefs>
</ds:datastoreItem>
</file>

<file path=customXml/itemProps2.xml><?xml version="1.0" encoding="utf-8"?>
<ds:datastoreItem xmlns:ds="http://schemas.openxmlformats.org/officeDocument/2006/customXml" ds:itemID="{4B3FDDE7-FE2B-41CC-A8EC-5F9593FA618B}">
  <ds:schemaRefs>
    <ds:schemaRef ds:uri="http://schemas.microsoft.com/office/2006/metadata/properties"/>
    <ds:schemaRef ds:uri="http://schemas.microsoft.com/office/infopath/2007/PartnerControls"/>
    <ds:schemaRef ds:uri="6a06342d-ce85-4729-8251-347f0ba4f840"/>
    <ds:schemaRef ds:uri="b6888f76-1100-40b0-929b-1efe9044426d"/>
  </ds:schemaRefs>
</ds:datastoreItem>
</file>

<file path=customXml/itemProps3.xml><?xml version="1.0" encoding="utf-8"?>
<ds:datastoreItem xmlns:ds="http://schemas.openxmlformats.org/officeDocument/2006/customXml" ds:itemID="{A3B0D39A-6D2B-4F53-A390-1BC156FB1E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06342d-ce85-4729-8251-347f0ba4f840"/>
    <ds:schemaRef ds:uri="b6888f76-1100-40b0-929b-1efe904442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CE95FE1-785C-4575-8E3E-18CE05BD8EF1}">
  <ds:schemaRefs>
    <ds:schemaRef ds:uri="http://www.w3.org/2001/XMLSchema"/>
    <ds:schemaRef ds:uri="http://www.boldonjames.com/2016/02/Classifier/internal/wrappedLabelHistory"/>
  </ds:schemaRefs>
</ds:datastoreItem>
</file>

<file path=customXml/itemProps5.xml><?xml version="1.0" encoding="utf-8"?>
<ds:datastoreItem xmlns:ds="http://schemas.openxmlformats.org/officeDocument/2006/customXml" ds:itemID="{0A93D496-BC11-4AAE-84B6-B1CDB1255229}">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23</vt:i4>
      </vt:variant>
    </vt:vector>
  </HeadingPairs>
  <TitlesOfParts>
    <vt:vector size="53" baseType="lpstr">
      <vt:lpstr>OKT.Sch.11.Rates</vt:lpstr>
      <vt:lpstr>OKT.WS.F.BPU.ATRR.Projected</vt:lpstr>
      <vt:lpstr>OKT.WS.G.BPU.ATRR.True-up</vt:lpstr>
      <vt:lpstr>OKT.001</vt:lpstr>
      <vt:lpstr>OKT.002</vt:lpstr>
      <vt:lpstr>OKT.003</vt:lpstr>
      <vt:lpstr>OKT.004</vt:lpstr>
      <vt:lpstr>OKT.005</vt:lpstr>
      <vt:lpstr>OKT.006</vt:lpstr>
      <vt:lpstr>OKT.007</vt:lpstr>
      <vt:lpstr>OKT.008</vt:lpstr>
      <vt:lpstr>OKT.009</vt:lpstr>
      <vt:lpstr>OKT.010</vt:lpstr>
      <vt:lpstr>OKT.011</vt:lpstr>
      <vt:lpstr>OKT.012</vt:lpstr>
      <vt:lpstr>OKT.013</vt:lpstr>
      <vt:lpstr>OKT.014</vt:lpstr>
      <vt:lpstr>OKT.015</vt:lpstr>
      <vt:lpstr>OKT.016</vt:lpstr>
      <vt:lpstr>OKT.017</vt:lpstr>
      <vt:lpstr>OKT.018</vt:lpstr>
      <vt:lpstr>OKT.019</vt:lpstr>
      <vt:lpstr>OKT.020</vt:lpstr>
      <vt:lpstr>OKT.021</vt:lpstr>
      <vt:lpstr>OKT.022</vt:lpstr>
      <vt:lpstr>OKT.023</vt:lpstr>
      <vt:lpstr>OKT.024</vt:lpstr>
      <vt:lpstr>OKT.025</vt:lpstr>
      <vt:lpstr>OKT.026</vt:lpstr>
      <vt:lpstr>OKT.xyz - blank</vt:lpstr>
      <vt:lpstr>OKT.001!Print_Area</vt:lpstr>
      <vt:lpstr>OKT.002!Print_Area</vt:lpstr>
      <vt:lpstr>OKT.003!Print_Area</vt:lpstr>
      <vt:lpstr>OKT.004!Print_Area</vt:lpstr>
      <vt:lpstr>OKT.005!Print_Area</vt:lpstr>
      <vt:lpstr>OKT.006!Print_Area</vt:lpstr>
      <vt:lpstr>OKT.007!Print_Area</vt:lpstr>
      <vt:lpstr>OKT.008!Print_Area</vt:lpstr>
      <vt:lpstr>OKT.009!Print_Area</vt:lpstr>
      <vt:lpstr>OKT.010!Print_Area</vt:lpstr>
      <vt:lpstr>OKT.011!Print_Area</vt:lpstr>
      <vt:lpstr>OKT.012!Print_Area</vt:lpstr>
      <vt:lpstr>OKT.013!Print_Area</vt:lpstr>
      <vt:lpstr>OKT.014!Print_Area</vt:lpstr>
      <vt:lpstr>OKT.015!Print_Area</vt:lpstr>
      <vt:lpstr>OKT.016!Print_Area</vt:lpstr>
      <vt:lpstr>OKT.017!Print_Area</vt:lpstr>
      <vt:lpstr>OKT.Sch.11.Rates!Print_Area</vt:lpstr>
      <vt:lpstr>OKT.WS.F.BPU.ATRR.Projected!Print_Area</vt:lpstr>
      <vt:lpstr>'OKT.WS.G.BPU.ATRR.True-up'!Print_Area</vt:lpstr>
      <vt:lpstr>'OKT.xyz - blank'!Print_Area</vt:lpstr>
      <vt:lpstr>OKT.WS.F.BPU.ATRR.Projected!Print_Titles</vt:lpstr>
      <vt:lpstr>'OKT.WS.G.BPU.ATRR.True-up'!Print_Titles</vt:lpstr>
    </vt:vector>
  </TitlesOfParts>
  <Company>AEP-IT-CPS 4/30/3-(8-835-3050)</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R.Pennybaker</dc:creator>
  <cp:keywords/>
  <cp:lastModifiedBy>Allyson L Keaton</cp:lastModifiedBy>
  <cp:lastPrinted>2023-05-23T12:13:03Z</cp:lastPrinted>
  <dcterms:created xsi:type="dcterms:W3CDTF">2009-05-11T14:02:48Z</dcterms:created>
  <dcterms:modified xsi:type="dcterms:W3CDTF">2026-05-21T19:05:10Z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fdf90a27-ae33-44c3-97c2-34c0498a6fd2</vt:lpwstr>
  </property>
  <property fmtid="{D5CDD505-2E9C-101B-9397-08002B2CF9AE}" pid="3" name="bjSaver">
    <vt:lpwstr>clRxCTTKA7z930TtRLwKph96GxWYXtbn</vt:lpwstr>
  </property>
  <property fmtid="{D5CDD505-2E9C-101B-9397-08002B2CF9AE}" pid="4" name="bjDocumentSecurityLabel">
    <vt:lpwstr>AEP Internal</vt:lpwstr>
  </property>
  <property fmtid="{D5CDD505-2E9C-101B-9397-08002B2CF9AE}" pid="5" name="Visual Markings Removed">
    <vt:lpwstr>No</vt:lpwstr>
  </property>
  <property fmtid="{D5CDD505-2E9C-101B-9397-08002B2CF9AE}" pid="6" name="bjClsUserRVM">
    <vt:lpwstr>[]</vt:lpwstr>
  </property>
  <property fmtid="{D5CDD505-2E9C-101B-9397-08002B2CF9AE}" pid="7" name="MSIP_Label_69f43042-6bda-44b2-91eb-eca3d3d484f4_SiteId">
    <vt:lpwstr>15f3c881-6b03-4ff6-8559-77bf5177818f</vt:lpwstr>
  </property>
  <property fmtid="{D5CDD505-2E9C-101B-9397-08002B2CF9AE}" pid="8" name="MSIP_Label_69f43042-6bda-44b2-91eb-eca3d3d484f4_Name">
    <vt:lpwstr>AEP Internal</vt:lpwstr>
  </property>
  <property fmtid="{D5CDD505-2E9C-101B-9397-08002B2CF9AE}" pid="9" name="MSIP_Label_69f43042-6bda-44b2-91eb-eca3d3d484f4_Enabled">
    <vt:lpwstr>true</vt:lpwstr>
  </property>
  <property fmtid="{D5CDD505-2E9C-101B-9397-08002B2CF9AE}" pid="10" name="bjLabelHistoryID">
    <vt:lpwstr>{FCE95FE1-785C-4575-8E3E-18CE05BD8EF1}</vt:lpwstr>
  </property>
  <property fmtid="{D5CDD505-2E9C-101B-9397-08002B2CF9AE}" pid="11" name="bjDocumentLabelXML">
    <vt:lpwstr>&lt;?xml version="1.0" encoding="us-ascii"?&gt;&lt;sisl xmlns:xsd="http://www.w3.org/2001/XMLSchema" xmlns:xsi="http://www.w3.org/2001/XMLSchema-instance" sislVersion="0" policy="e9c0b8d7-bdb4-4fd3-b62a-f50327aaefce" origin="userSelected" xmlns="http://www.boldonj</vt:lpwstr>
  </property>
  <property fmtid="{D5CDD505-2E9C-101B-9397-08002B2CF9AE}" pid="12" name="bjDocumentLabelXML-0">
    <vt:lpwstr>ames.com/2008/01/sie/internal/label"&gt;&lt;element uid="50c31824-0780-4910-87d1-eaaffd182d42" value="" /&gt;&lt;/sisl&gt;</vt:lpwstr>
  </property>
  <property fmtid="{D5CDD505-2E9C-101B-9397-08002B2CF9AE}" pid="13" name="ContentTypeId">
    <vt:lpwstr>0x0101002649C77599AAFD4B8FFD850D55630F3C</vt:lpwstr>
  </property>
  <property fmtid="{D5CDD505-2E9C-101B-9397-08002B2CF9AE}" pid="14" name="MediaServiceImageTags">
    <vt:lpwstr/>
  </property>
  <property fmtid="{D5CDD505-2E9C-101B-9397-08002B2CF9AE}" pid="15" name="bjpmDocIH">
    <vt:lpwstr>tMee0lY+QQaNhjKQa7tM5H9HydNafo19</vt:lpwstr>
  </property>
</Properties>
</file>